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045"/>
  </bookViews>
  <sheets>
    <sheet name="评估结果汇总" sheetId="6" r:id="rId1"/>
    <sheet name="车辆+线路牌" sheetId="1" r:id="rId2"/>
    <sheet name="车辆评估" sheetId="3" r:id="rId3"/>
    <sheet name="线路牌评估" sheetId="4" r:id="rId4"/>
    <sheet name="调整系数" sheetId="2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</authors>
  <commentList>
    <comment ref="H62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增值税率17%，不含税价76923.08，增值税额13076.92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K22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一年10000元</t>
        </r>
      </text>
    </comment>
  </commentList>
</comments>
</file>

<file path=xl/sharedStrings.xml><?xml version="1.0" encoding="utf-8"?>
<sst xmlns="http://schemas.openxmlformats.org/spreadsheetml/2006/main" count="1281" uniqueCount="341">
  <si>
    <t>2024年双牌县城乡客运车辆征收评估明细表</t>
  </si>
  <si>
    <t>评估基准日：2024年3月31日</t>
  </si>
  <si>
    <t>单位：人民币元</t>
  </si>
  <si>
    <t>序号</t>
  </si>
  <si>
    <t>车主</t>
  </si>
  <si>
    <t>车牌号</t>
  </si>
  <si>
    <t>线路起讫点</t>
  </si>
  <si>
    <t>车辆评估值</t>
  </si>
  <si>
    <t>经营权评估值</t>
  </si>
  <si>
    <t>综合评估净值</t>
  </si>
  <si>
    <t>备注</t>
  </si>
  <si>
    <t>永汽公司</t>
  </si>
  <si>
    <t>湘MY1537</t>
  </si>
  <si>
    <t>双牌-蔡里口</t>
  </si>
  <si>
    <t>湘MY3331</t>
  </si>
  <si>
    <t>双牌-江村</t>
  </si>
  <si>
    <t>湘MY1503</t>
  </si>
  <si>
    <t>罗剑辉</t>
  </si>
  <si>
    <t>湘MY2227</t>
  </si>
  <si>
    <t>双牌-阳明山</t>
  </si>
  <si>
    <t>何朝辉</t>
  </si>
  <si>
    <t>湘M71927</t>
  </si>
  <si>
    <t>双牌-牟江</t>
  </si>
  <si>
    <t>湘M71948</t>
  </si>
  <si>
    <t>湘M72267</t>
  </si>
  <si>
    <t>湘M72283</t>
  </si>
  <si>
    <t>鸿发公司</t>
  </si>
  <si>
    <t>湘M72065</t>
  </si>
  <si>
    <t>湘M72067</t>
  </si>
  <si>
    <t>湘M72061</t>
  </si>
  <si>
    <t>湘M71341</t>
  </si>
  <si>
    <t>湘M71769</t>
  </si>
  <si>
    <t>邓兆钢</t>
  </si>
  <si>
    <t>湘M72087</t>
  </si>
  <si>
    <t>双牌-大坝</t>
  </si>
  <si>
    <t>吴跃军</t>
  </si>
  <si>
    <t>湘M72425</t>
  </si>
  <si>
    <t>唐海军</t>
  </si>
  <si>
    <t>湘M70845</t>
  </si>
  <si>
    <t>袁建新</t>
  </si>
  <si>
    <t>湘M72091</t>
  </si>
  <si>
    <t>袁财宏</t>
  </si>
  <si>
    <t>湘M71816</t>
  </si>
  <si>
    <t>双牌-麻江</t>
  </si>
  <si>
    <t>湘M71929</t>
  </si>
  <si>
    <t>湘M72636</t>
  </si>
  <si>
    <t>湘M72348</t>
  </si>
  <si>
    <t>双牌-茶林</t>
  </si>
  <si>
    <t>湘M71339</t>
  </si>
  <si>
    <t>盘继标</t>
  </si>
  <si>
    <t>湘M71962</t>
  </si>
  <si>
    <t>双牌-尚仁里</t>
  </si>
  <si>
    <t>湘M71957</t>
  </si>
  <si>
    <t>湘M71461</t>
  </si>
  <si>
    <t>王晓斌</t>
  </si>
  <si>
    <t>湘M71043</t>
  </si>
  <si>
    <t>双牌-六盘</t>
  </si>
  <si>
    <t>唐桂林</t>
  </si>
  <si>
    <t>湘M71799</t>
  </si>
  <si>
    <t>双牌-平福头</t>
  </si>
  <si>
    <t>肖玉君</t>
  </si>
  <si>
    <t>湘M72437</t>
  </si>
  <si>
    <t>蒋志华</t>
  </si>
  <si>
    <t>湘M72097</t>
  </si>
  <si>
    <t>双牌-九甲</t>
  </si>
  <si>
    <t>湘M72431</t>
  </si>
  <si>
    <t>何廷相</t>
  </si>
  <si>
    <t>湘M71818</t>
  </si>
  <si>
    <t>双牌-林江</t>
  </si>
  <si>
    <t>王其文</t>
  </si>
  <si>
    <t>湘M71366</t>
  </si>
  <si>
    <t>双牌-上梧江</t>
  </si>
  <si>
    <t>聂书祥</t>
  </si>
  <si>
    <t>湘M72612</t>
  </si>
  <si>
    <t>武华公司</t>
  </si>
  <si>
    <t>湘M71895</t>
  </si>
  <si>
    <t>双牌-五里牌</t>
  </si>
  <si>
    <t>湘M71905</t>
  </si>
  <si>
    <t>湘M71907</t>
  </si>
  <si>
    <t>湘M71993</t>
  </si>
  <si>
    <t>湘M71995</t>
  </si>
  <si>
    <t>湘M72273</t>
  </si>
  <si>
    <t>湘M72307</t>
  </si>
  <si>
    <t>湘M72308</t>
  </si>
  <si>
    <t>湘M72313</t>
  </si>
  <si>
    <t>湘M70989</t>
  </si>
  <si>
    <t>湘M73116</t>
  </si>
  <si>
    <t>唐美华</t>
  </si>
  <si>
    <t>湘M72290</t>
  </si>
  <si>
    <t>张玉新</t>
  </si>
  <si>
    <t>湘M72217</t>
  </si>
  <si>
    <t>双牌-总管庙</t>
  </si>
  <si>
    <t>何志銮</t>
  </si>
  <si>
    <t>湘M72243</t>
  </si>
  <si>
    <t>理家坪-西介洞</t>
  </si>
  <si>
    <t>张帆</t>
  </si>
  <si>
    <t>湘M72377</t>
  </si>
  <si>
    <t>理家坪-塘于洞</t>
  </si>
  <si>
    <t>王先飞</t>
  </si>
  <si>
    <t>湘M72467</t>
  </si>
  <si>
    <t>理家坪-大坪地</t>
  </si>
  <si>
    <t>赵毅茂</t>
  </si>
  <si>
    <t>湘M72149</t>
  </si>
  <si>
    <t>理家坪-车龙村</t>
  </si>
  <si>
    <t>梁德学</t>
  </si>
  <si>
    <t>湘M72382</t>
  </si>
  <si>
    <t>湘M72329</t>
  </si>
  <si>
    <t>理家坪-马蹄村</t>
  </si>
  <si>
    <t>夏小平</t>
  </si>
  <si>
    <t>湘M71977</t>
  </si>
  <si>
    <t>江村-白果村</t>
  </si>
  <si>
    <t>王建国</t>
  </si>
  <si>
    <t>湘M72052</t>
  </si>
  <si>
    <t>江村-理家坪</t>
  </si>
  <si>
    <t>湘M72137</t>
  </si>
  <si>
    <t>湘M72446</t>
  </si>
  <si>
    <t>江村-黑漯</t>
  </si>
  <si>
    <t>赖香连</t>
  </si>
  <si>
    <t>湘M72608</t>
  </si>
  <si>
    <t>访尧-马家</t>
  </si>
  <si>
    <t>蒋高新</t>
  </si>
  <si>
    <t>湘M72447</t>
  </si>
  <si>
    <t>双牌-塘底</t>
  </si>
  <si>
    <t>易良燕</t>
  </si>
  <si>
    <t>湘M72059</t>
  </si>
  <si>
    <t>李国亮</t>
  </si>
  <si>
    <t>湘M71430</t>
  </si>
  <si>
    <t>双牌-永江</t>
  </si>
  <si>
    <t>湘M71742</t>
  </si>
  <si>
    <t>湘M71543</t>
  </si>
  <si>
    <t>合计</t>
  </si>
  <si>
    <t>车辆品牌</t>
  </si>
  <si>
    <t>车辆类型</t>
  </si>
  <si>
    <t>机动车注册登记日期</t>
  </si>
  <si>
    <t>使用年限</t>
  </si>
  <si>
    <t>剩余使用年限（15年）</t>
  </si>
  <si>
    <t>经营期限起始日</t>
  </si>
  <si>
    <t>经营期限终止日</t>
  </si>
  <si>
    <t>评估日期</t>
  </si>
  <si>
    <t>剩余经营期（年）</t>
  </si>
  <si>
    <t>剩余经营期（月）</t>
  </si>
  <si>
    <t>剩余经营期（整月）</t>
  </si>
  <si>
    <t>评估价值（工作量法折旧）</t>
  </si>
  <si>
    <t>评估价值（双倍余额递减法折旧）</t>
  </si>
  <si>
    <t>评估价值（年限平均法折旧）</t>
  </si>
  <si>
    <t>经营权价值（元/年）</t>
  </si>
  <si>
    <t>经营权价值（元/月）</t>
  </si>
  <si>
    <t>重置价格</t>
  </si>
  <si>
    <t>成新率</t>
  </si>
  <si>
    <t>评估净值</t>
  </si>
  <si>
    <t>宇通客车</t>
  </si>
  <si>
    <t>大型普通客车</t>
  </si>
  <si>
    <t>江淮客车</t>
  </si>
  <si>
    <t>中型普通客车</t>
  </si>
  <si>
    <t>安源客车</t>
  </si>
  <si>
    <t>湘M71633</t>
  </si>
  <si>
    <t>悦西客车</t>
  </si>
  <si>
    <t>东风超龙</t>
  </si>
  <si>
    <t>金旅客车</t>
  </si>
  <si>
    <t>同心汽车</t>
  </si>
  <si>
    <t>赛特客车</t>
  </si>
  <si>
    <t>友谊客车</t>
  </si>
  <si>
    <t xml:space="preserve"> </t>
  </si>
  <si>
    <t>衡山客车</t>
  </si>
  <si>
    <t>资产占有单位填表人：</t>
  </si>
  <si>
    <t>评估人员：徐成武、唐闪锋</t>
  </si>
  <si>
    <t>填表日期：2024年4月15日</t>
  </si>
  <si>
    <t>2024年双牌县车辆及线路牌评估明细表</t>
  </si>
  <si>
    <t>资产占有单位:</t>
  </si>
  <si>
    <t>折旧率</t>
  </si>
  <si>
    <t>增值税率17%</t>
  </si>
  <si>
    <t>车辆购置税率10%</t>
  </si>
  <si>
    <t>购置价格</t>
  </si>
  <si>
    <t>行驶里程</t>
  </si>
  <si>
    <t>客运汽车报废里程</t>
  </si>
  <si>
    <t>座位数</t>
  </si>
  <si>
    <t>评估基准日</t>
  </si>
  <si>
    <t>使用年限（月）</t>
  </si>
  <si>
    <t>剩余使用年限（月）</t>
  </si>
  <si>
    <t>剩余行驶里程</t>
  </si>
  <si>
    <t>北斗服务费</t>
  </si>
  <si>
    <t>双倍余额递减法折旧量</t>
  </si>
  <si>
    <t>含税购置价</t>
  </si>
  <si>
    <t>不含增值税税购置价</t>
  </si>
  <si>
    <t>车辆购置税</t>
  </si>
  <si>
    <t>上牌照费用</t>
  </si>
  <si>
    <t>第1年</t>
  </si>
  <si>
    <t>第2年</t>
  </si>
  <si>
    <t>第3年</t>
  </si>
  <si>
    <t>第4年</t>
  </si>
  <si>
    <t>第5年</t>
  </si>
  <si>
    <t>第6年</t>
  </si>
  <si>
    <t>第7年</t>
  </si>
  <si>
    <t>第8年</t>
  </si>
  <si>
    <t>第9年</t>
  </si>
  <si>
    <t>第10年</t>
  </si>
  <si>
    <t>第11年</t>
  </si>
  <si>
    <t>第12年</t>
  </si>
  <si>
    <t>第13年</t>
  </si>
  <si>
    <t>小计</t>
  </si>
  <si>
    <t>第14年</t>
  </si>
  <si>
    <t>第15年</t>
  </si>
  <si>
    <t>双倍余额递减法评估值</t>
  </si>
  <si>
    <t>净残值为5%</t>
  </si>
  <si>
    <t>无车</t>
  </si>
  <si>
    <t>平均每台车辆评估价值：</t>
  </si>
  <si>
    <t>线路牌经营权价值测算表</t>
  </si>
  <si>
    <t>线路</t>
  </si>
  <si>
    <t>每年收入</t>
  </si>
  <si>
    <t>每年支出</t>
  </si>
  <si>
    <t>毛利</t>
  </si>
  <si>
    <t>客运投资收益率</t>
  </si>
  <si>
    <t>车辆投资收益</t>
  </si>
  <si>
    <t>管理费用</t>
  </si>
  <si>
    <t>经营利润</t>
  </si>
  <si>
    <t>收入（含学生运费）</t>
  </si>
  <si>
    <t>政府补贴</t>
  </si>
  <si>
    <t>司机乘务员工资</t>
  </si>
  <si>
    <t>燃油费</t>
  </si>
  <si>
    <t>维修费</t>
  </si>
  <si>
    <t>保险费</t>
  </si>
  <si>
    <t>北斗导航费</t>
  </si>
  <si>
    <t>车站收费</t>
  </si>
  <si>
    <t>其他费用</t>
  </si>
  <si>
    <t>车辆折旧</t>
  </si>
  <si>
    <t>1、</t>
  </si>
  <si>
    <t>双牌-蔡里口：</t>
  </si>
  <si>
    <t>25人/车</t>
  </si>
  <si>
    <t>1趟</t>
  </si>
  <si>
    <t>1趟人次</t>
  </si>
  <si>
    <t>返回</t>
  </si>
  <si>
    <t>政府补贴：</t>
  </si>
  <si>
    <t>总人次：</t>
  </si>
  <si>
    <t>18年</t>
  </si>
  <si>
    <t>30座</t>
  </si>
  <si>
    <t>上座率</t>
  </si>
  <si>
    <t>19年</t>
  </si>
  <si>
    <t>收入：</t>
  </si>
  <si>
    <t>其他：</t>
  </si>
  <si>
    <t>2、</t>
  </si>
  <si>
    <t>双牌-九甲：</t>
  </si>
  <si>
    <t>前3趟人次</t>
  </si>
  <si>
    <t>平均：</t>
  </si>
  <si>
    <t>后7趟人次</t>
  </si>
  <si>
    <t>28人/车</t>
  </si>
  <si>
    <t>19座</t>
  </si>
  <si>
    <t>车辆保险：</t>
  </si>
  <si>
    <t>司机工资</t>
  </si>
  <si>
    <t>29座</t>
  </si>
  <si>
    <t>服务员</t>
  </si>
  <si>
    <t>票价计算：</t>
  </si>
  <si>
    <t>：返回</t>
  </si>
  <si>
    <t>保险费19座</t>
  </si>
  <si>
    <t>其他费用：</t>
  </si>
  <si>
    <t>返回：</t>
  </si>
  <si>
    <t>合计：</t>
  </si>
  <si>
    <t>平均票价</t>
  </si>
  <si>
    <t>3、</t>
  </si>
  <si>
    <t>双牌-尚仁里：</t>
  </si>
  <si>
    <t>18人/车</t>
  </si>
  <si>
    <t>6趟</t>
  </si>
  <si>
    <t>前2趟人次</t>
  </si>
  <si>
    <t>后4趟人次</t>
  </si>
  <si>
    <t>麻江19座2趟</t>
  </si>
  <si>
    <t>3趟</t>
  </si>
  <si>
    <t>补助：</t>
  </si>
  <si>
    <t>4、</t>
  </si>
  <si>
    <t>4趟</t>
  </si>
  <si>
    <t>不含补助</t>
  </si>
  <si>
    <t>第三趟</t>
  </si>
  <si>
    <t>第1趟人次</t>
  </si>
  <si>
    <t>第2趟人次</t>
  </si>
  <si>
    <t>第3趟人次</t>
  </si>
  <si>
    <t>第4趟人次</t>
  </si>
  <si>
    <t>2趟</t>
  </si>
  <si>
    <t>收入</t>
  </si>
  <si>
    <t>22人/车</t>
  </si>
  <si>
    <t>3塘</t>
  </si>
  <si>
    <t>平均收入：</t>
  </si>
  <si>
    <t>5、</t>
  </si>
  <si>
    <t>5趟</t>
  </si>
  <si>
    <t>一年收入</t>
  </si>
  <si>
    <t>补助</t>
  </si>
  <si>
    <t>其他费用平均</t>
  </si>
  <si>
    <t>茶林30座</t>
  </si>
  <si>
    <t>29人/车</t>
  </si>
  <si>
    <t>6、</t>
  </si>
  <si>
    <t>茶林19座</t>
  </si>
  <si>
    <t>7、</t>
  </si>
  <si>
    <t>8、</t>
  </si>
  <si>
    <t>前1趟人次</t>
  </si>
  <si>
    <t>后2趟人次</t>
  </si>
  <si>
    <t>9、</t>
  </si>
  <si>
    <t>塘底乡镇府下1/3的人</t>
  </si>
  <si>
    <t>8元/人</t>
  </si>
  <si>
    <t>剩下：</t>
  </si>
  <si>
    <t>平均票价：</t>
  </si>
  <si>
    <t>其他平均值</t>
  </si>
  <si>
    <t>10、</t>
  </si>
  <si>
    <t>11、</t>
  </si>
  <si>
    <t>其他</t>
  </si>
  <si>
    <t>折旧</t>
  </si>
  <si>
    <t>后1趟人次</t>
  </si>
  <si>
    <t>12、</t>
  </si>
  <si>
    <t>第1趟</t>
  </si>
  <si>
    <t>第2趟</t>
  </si>
  <si>
    <t>3-4趟</t>
  </si>
  <si>
    <t>13、</t>
  </si>
  <si>
    <t>14、</t>
  </si>
  <si>
    <t>上座率计算：</t>
  </si>
  <si>
    <t>①赶集</t>
  </si>
  <si>
    <t>1-2趟</t>
  </si>
  <si>
    <t>5-8趟</t>
  </si>
  <si>
    <t>9天/月合计：</t>
  </si>
  <si>
    <t>②普通日子</t>
  </si>
  <si>
    <t>每一趟</t>
  </si>
  <si>
    <t>21天/月 合计</t>
  </si>
  <si>
    <t>人次/月 合计</t>
  </si>
  <si>
    <t>③上座率</t>
  </si>
  <si>
    <t>总人次/天</t>
  </si>
  <si>
    <t>15、</t>
  </si>
  <si>
    <t>16、</t>
  </si>
  <si>
    <t>5-6趟</t>
  </si>
  <si>
    <t>17、</t>
  </si>
  <si>
    <t>后5趟人次</t>
  </si>
  <si>
    <t>年检等</t>
  </si>
  <si>
    <t>违规</t>
  </si>
  <si>
    <t>18、</t>
  </si>
  <si>
    <t>19、</t>
  </si>
  <si>
    <t>20、</t>
  </si>
  <si>
    <t>18.5人/车</t>
  </si>
  <si>
    <t>21、</t>
  </si>
  <si>
    <t>前往</t>
  </si>
  <si>
    <t>22、</t>
  </si>
  <si>
    <t>23、</t>
  </si>
  <si>
    <t>总人数</t>
  </si>
  <si>
    <t>车辆调整系数说明</t>
  </si>
  <si>
    <t>使用1-5年</t>
  </si>
  <si>
    <t>使用6-10年</t>
  </si>
  <si>
    <t>使用11-15年</t>
  </si>
  <si>
    <t>报废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</si>
</sst>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#,##0_ "/>
    <numFmt numFmtId="179" formatCode="yyyy/m/d;@"/>
    <numFmt numFmtId="180" formatCode="0_ "/>
    <numFmt numFmtId="181" formatCode="_ * #,##0_ ;_ * \-#,##0_ ;_ * &quot;-&quot;??_ ;_ @_ "/>
    <numFmt numFmtId="182" formatCode="0.00_);[Red]\(0.00\)"/>
  </numFmts>
  <fonts count="4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2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0"/>
      <color rgb="FF000000"/>
      <name val="宋体"/>
      <charset val="134"/>
    </font>
    <font>
      <b/>
      <sz val="16"/>
      <color rgb="FF00000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10" applyNumberFormat="0" applyAlignment="0" applyProtection="0">
      <alignment vertical="center"/>
    </xf>
    <xf numFmtId="0" fontId="32" fillId="5" borderId="11" applyNumberFormat="0" applyAlignment="0" applyProtection="0">
      <alignment vertical="center"/>
    </xf>
    <xf numFmtId="0" fontId="33" fillId="5" borderId="10" applyNumberFormat="0" applyAlignment="0" applyProtection="0">
      <alignment vertical="center"/>
    </xf>
    <xf numFmtId="0" fontId="34" fillId="6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5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43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left" vertical="center"/>
    </xf>
    <xf numFmtId="18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3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0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81" fontId="9" fillId="0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>
      <alignment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12" fillId="0" borderId="1" xfId="0" applyNumberFormat="1" applyFont="1" applyBorder="1">
      <alignment vertical="center"/>
    </xf>
    <xf numFmtId="14" fontId="12" fillId="0" borderId="1" xfId="0" applyNumberFormat="1" applyFont="1" applyBorder="1" applyAlignment="1">
      <alignment horizontal="left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>
      <alignment vertical="center"/>
    </xf>
    <xf numFmtId="14" fontId="12" fillId="2" borderId="1" xfId="0" applyNumberFormat="1" applyFont="1" applyFill="1" applyBorder="1" applyAlignment="1">
      <alignment horizontal="left" vertical="center"/>
    </xf>
    <xf numFmtId="177" fontId="12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left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left" vertical="center" wrapText="1"/>
    </xf>
    <xf numFmtId="180" fontId="12" fillId="0" borderId="3" xfId="0" applyNumberFormat="1" applyFont="1" applyBorder="1" applyAlignment="1">
      <alignment horizontal="center" vertical="center" wrapText="1"/>
    </xf>
    <xf numFmtId="180" fontId="12" fillId="2" borderId="3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left" vertical="center"/>
    </xf>
    <xf numFmtId="182" fontId="14" fillId="0" borderId="1" xfId="0" applyNumberFormat="1" applyFont="1" applyBorder="1" applyAlignment="1">
      <alignment horizontal="left" vertical="center"/>
    </xf>
    <xf numFmtId="176" fontId="12" fillId="2" borderId="1" xfId="0" applyNumberFormat="1" applyFont="1" applyFill="1" applyBorder="1">
      <alignment vertical="center"/>
    </xf>
    <xf numFmtId="176" fontId="15" fillId="0" borderId="1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14" fontId="15" fillId="0" borderId="1" xfId="0" applyNumberFormat="1" applyFont="1" applyBorder="1" applyAlignment="1">
      <alignment horizontal="left" vertical="center"/>
    </xf>
    <xf numFmtId="179" fontId="15" fillId="0" borderId="1" xfId="0" applyNumberFormat="1" applyFont="1" applyBorder="1" applyAlignment="1">
      <alignment horizontal="left" vertical="center"/>
    </xf>
    <xf numFmtId="177" fontId="12" fillId="0" borderId="1" xfId="0" applyNumberFormat="1" applyFont="1" applyBorder="1">
      <alignment vertical="center"/>
    </xf>
    <xf numFmtId="176" fontId="15" fillId="2" borderId="1" xfId="0" applyNumberFormat="1" applyFont="1" applyFill="1" applyBorder="1">
      <alignment vertical="center"/>
    </xf>
    <xf numFmtId="179" fontId="12" fillId="2" borderId="1" xfId="0" applyNumberFormat="1" applyFont="1" applyFill="1" applyBorder="1" applyAlignment="1">
      <alignment horizontal="left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78" fontId="12" fillId="0" borderId="1" xfId="0" applyNumberFormat="1" applyFont="1" applyBorder="1">
      <alignment vertical="center"/>
    </xf>
    <xf numFmtId="0" fontId="12" fillId="0" borderId="0" xfId="0" applyFont="1">
      <alignment vertical="center"/>
    </xf>
    <xf numFmtId="0" fontId="12" fillId="0" borderId="0" xfId="0" applyNumberFormat="1" applyFont="1" applyAlignment="1">
      <alignment horizontal="right" vertical="center"/>
    </xf>
    <xf numFmtId="0" fontId="12" fillId="0" borderId="2" xfId="0" applyNumberFormat="1" applyFont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Border="1">
      <alignment vertical="center"/>
    </xf>
    <xf numFmtId="178" fontId="13" fillId="0" borderId="1" xfId="0" applyNumberFormat="1" applyFont="1" applyBorder="1">
      <alignment vertical="center"/>
    </xf>
    <xf numFmtId="0" fontId="12" fillId="2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82" fontId="12" fillId="2" borderId="1" xfId="0" applyNumberFormat="1" applyFont="1" applyFill="1" applyBorder="1" applyAlignment="1">
      <alignment horizontal="left" vertical="center"/>
    </xf>
    <xf numFmtId="177" fontId="12" fillId="2" borderId="1" xfId="0" applyNumberFormat="1" applyFont="1" applyFill="1" applyBorder="1">
      <alignment vertical="center"/>
    </xf>
    <xf numFmtId="178" fontId="16" fillId="0" borderId="1" xfId="0" applyNumberFormat="1" applyFont="1" applyBorder="1">
      <alignment vertical="center"/>
    </xf>
    <xf numFmtId="178" fontId="17" fillId="0" borderId="1" xfId="0" applyNumberFormat="1" applyFont="1" applyBorder="1" applyAlignment="1">
      <alignment horizontal="right" vertical="center"/>
    </xf>
    <xf numFmtId="178" fontId="17" fillId="2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76" fontId="18" fillId="0" borderId="0" xfId="0" applyNumberFormat="1" applyFont="1">
      <alignment vertical="center"/>
    </xf>
    <xf numFmtId="176" fontId="17" fillId="0" borderId="1" xfId="0" applyNumberFormat="1" applyFont="1" applyBorder="1" applyAlignment="1">
      <alignment horizontal="right" vertical="center"/>
    </xf>
    <xf numFmtId="178" fontId="17" fillId="2" borderId="1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>
      <alignment vertical="center"/>
    </xf>
    <xf numFmtId="178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8" fontId="22" fillId="0" borderId="1" xfId="0" applyNumberFormat="1" applyFont="1" applyBorder="1">
      <alignment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9&#20892;&#26449;&#23458;&#36816;&#36710;&#36742;&#27979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-报告用表"/>
      <sheetName val="计算表"/>
      <sheetName val="统计表"/>
      <sheetName val="Sheet1"/>
    </sheetNames>
    <sheetDataSet>
      <sheetData sheetId="0" refreshError="1"/>
      <sheetData sheetId="1" refreshError="1">
        <row r="6">
          <cell r="AK6">
            <v>271767.521367521</v>
          </cell>
        </row>
        <row r="8">
          <cell r="AK8">
            <v>228348.717948718</v>
          </cell>
        </row>
        <row r="33">
          <cell r="AK33">
            <v>87237.6068376068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workbookViewId="0">
      <pane ySplit="4" topLeftCell="A5" activePane="bottomLeft" state="frozen"/>
      <selection/>
      <selection pane="bottomLeft" activeCell="E67" sqref="E67"/>
    </sheetView>
  </sheetViews>
  <sheetFormatPr defaultColWidth="9" defaultRowHeight="13.5" outlineLevelCol="7"/>
  <cols>
    <col min="1" max="1" width="5.875" customWidth="1"/>
    <col min="4" max="4" width="11.75" customWidth="1"/>
    <col min="5" max="5" width="12" customWidth="1"/>
    <col min="6" max="6" width="11.125" customWidth="1"/>
    <col min="7" max="7" width="11.25" customWidth="1"/>
    <col min="8" max="8" width="15" customWidth="1"/>
  </cols>
  <sheetData>
    <row r="1" ht="27" customHeight="1" spans="1:8">
      <c r="A1" s="175" t="s">
        <v>0</v>
      </c>
      <c r="B1" s="175"/>
      <c r="C1" s="175"/>
      <c r="D1" s="175"/>
      <c r="E1" s="175"/>
      <c r="F1" s="175"/>
      <c r="G1" s="175"/>
      <c r="H1" s="175"/>
    </row>
    <row r="2" ht="15" customHeight="1" spans="1:8">
      <c r="A2" s="176" t="s">
        <v>1</v>
      </c>
      <c r="B2" s="176"/>
      <c r="C2" s="176"/>
      <c r="D2" s="176"/>
      <c r="E2" s="176"/>
      <c r="F2" s="176"/>
      <c r="G2" s="176"/>
      <c r="H2" s="176"/>
    </row>
    <row r="3" ht="16" customHeight="1" spans="1:8">
      <c r="A3" s="177"/>
      <c r="B3" s="177"/>
      <c r="C3" s="177"/>
      <c r="D3" s="177"/>
      <c r="E3" s="177"/>
      <c r="F3" s="177"/>
      <c r="G3" s="177"/>
      <c r="H3" s="178" t="s">
        <v>2</v>
      </c>
    </row>
    <row r="4" spans="1:8">
      <c r="A4" s="179" t="s">
        <v>3</v>
      </c>
      <c r="B4" s="179" t="s">
        <v>4</v>
      </c>
      <c r="C4" s="179" t="s">
        <v>5</v>
      </c>
      <c r="D4" s="179" t="s">
        <v>6</v>
      </c>
      <c r="E4" s="180" t="s">
        <v>7</v>
      </c>
      <c r="F4" s="181" t="s">
        <v>8</v>
      </c>
      <c r="G4" s="182" t="s">
        <v>9</v>
      </c>
      <c r="H4" s="183" t="s">
        <v>10</v>
      </c>
    </row>
    <row r="5" spans="1:8">
      <c r="A5" s="181">
        <v>1</v>
      </c>
      <c r="B5" s="184" t="s">
        <v>11</v>
      </c>
      <c r="C5" s="184" t="s">
        <v>12</v>
      </c>
      <c r="D5" s="184" t="s">
        <v>13</v>
      </c>
      <c r="E5" s="185">
        <f>'车辆+线路牌'!X6</f>
        <v>63089.7752800217</v>
      </c>
      <c r="F5" s="185">
        <f>'车辆+线路牌'!AA6</f>
        <v>8386.7069538462</v>
      </c>
      <c r="G5" s="185">
        <f>E5+F5</f>
        <v>71476.4822338679</v>
      </c>
      <c r="H5" s="186"/>
    </row>
    <row r="6" spans="1:8">
      <c r="A6" s="181">
        <v>2</v>
      </c>
      <c r="B6" s="184" t="s">
        <v>11</v>
      </c>
      <c r="C6" s="184" t="s">
        <v>14</v>
      </c>
      <c r="D6" s="184" t="s">
        <v>15</v>
      </c>
      <c r="E6" s="185">
        <f>'车辆+线路牌'!X7</f>
        <v>248950.563478125</v>
      </c>
      <c r="F6" s="185">
        <f>'车辆+线路牌'!AA7</f>
        <v>31851.9427777777</v>
      </c>
      <c r="G6" s="185">
        <f t="shared" ref="G6:G37" si="0">E6+F6</f>
        <v>280802.506255903</v>
      </c>
      <c r="H6" s="186"/>
    </row>
    <row r="7" spans="1:8">
      <c r="A7" s="181">
        <v>3</v>
      </c>
      <c r="B7" s="184" t="s">
        <v>11</v>
      </c>
      <c r="C7" s="184" t="s">
        <v>16</v>
      </c>
      <c r="D7" s="184" t="s">
        <v>13</v>
      </c>
      <c r="E7" s="185">
        <f>'车辆+线路牌'!X8</f>
        <v>67023.998126683</v>
      </c>
      <c r="F7" s="185">
        <f>'车辆+线路牌'!AA8</f>
        <v>19568.9828923078</v>
      </c>
      <c r="G7" s="185">
        <f t="shared" si="0"/>
        <v>86592.9810189908</v>
      </c>
      <c r="H7" s="186"/>
    </row>
    <row r="8" spans="1:8">
      <c r="A8" s="181">
        <v>4</v>
      </c>
      <c r="B8" s="184" t="s">
        <v>17</v>
      </c>
      <c r="C8" s="184" t="s">
        <v>18</v>
      </c>
      <c r="D8" s="184" t="s">
        <v>19</v>
      </c>
      <c r="E8" s="185">
        <f>'车辆+线路牌'!X9</f>
        <v>162546.216133942</v>
      </c>
      <c r="F8" s="185">
        <f>'车辆+线路牌'!AA9</f>
        <v>4502.14830959164</v>
      </c>
      <c r="G8" s="185">
        <f t="shared" si="0"/>
        <v>167048.364443534</v>
      </c>
      <c r="H8" s="186"/>
    </row>
    <row r="9" spans="1:8">
      <c r="A9" s="181">
        <v>5</v>
      </c>
      <c r="B9" s="184" t="s">
        <v>20</v>
      </c>
      <c r="C9" s="184" t="s">
        <v>21</v>
      </c>
      <c r="D9" s="184" t="s">
        <v>22</v>
      </c>
      <c r="E9" s="185">
        <f>'车辆+线路牌'!X10</f>
        <v>18945.2994575186</v>
      </c>
      <c r="F9" s="185">
        <f>'车辆+线路牌'!AA10</f>
        <v>4021.56592592592</v>
      </c>
      <c r="G9" s="185">
        <f t="shared" si="0"/>
        <v>22966.8653834445</v>
      </c>
      <c r="H9" s="186"/>
    </row>
    <row r="10" spans="1:8">
      <c r="A10" s="181">
        <v>6</v>
      </c>
      <c r="B10" s="184" t="s">
        <v>20</v>
      </c>
      <c r="C10" s="184" t="s">
        <v>23</v>
      </c>
      <c r="D10" s="184" t="s">
        <v>22</v>
      </c>
      <c r="E10" s="185">
        <f>'车辆+线路牌'!X11</f>
        <v>18945.2994575186</v>
      </c>
      <c r="F10" s="185">
        <f>'车辆+线路牌'!AA11</f>
        <v>4021.56592592592</v>
      </c>
      <c r="G10" s="185">
        <f t="shared" si="0"/>
        <v>22966.8653834445</v>
      </c>
      <c r="H10" s="186"/>
    </row>
    <row r="11" spans="1:8">
      <c r="A11" s="181">
        <v>7</v>
      </c>
      <c r="B11" s="184" t="s">
        <v>20</v>
      </c>
      <c r="C11" s="184" t="s">
        <v>24</v>
      </c>
      <c r="D11" s="184" t="s">
        <v>22</v>
      </c>
      <c r="E11" s="185">
        <f>'车辆+线路牌'!X12</f>
        <v>25905.8608281622</v>
      </c>
      <c r="F11" s="185">
        <f>'车辆+线路牌'!AA12</f>
        <v>4021.56592592592</v>
      </c>
      <c r="G11" s="185">
        <f t="shared" si="0"/>
        <v>29927.4267540881</v>
      </c>
      <c r="H11" s="186"/>
    </row>
    <row r="12" spans="1:8">
      <c r="A12" s="181">
        <v>8</v>
      </c>
      <c r="B12" s="184" t="s">
        <v>20</v>
      </c>
      <c r="C12" s="184" t="s">
        <v>25</v>
      </c>
      <c r="D12" s="184" t="s">
        <v>22</v>
      </c>
      <c r="E12" s="185">
        <f>'车辆+线路牌'!X13</f>
        <v>25905.8608281622</v>
      </c>
      <c r="F12" s="185">
        <f>'车辆+线路牌'!AA13</f>
        <v>4021.56592592592</v>
      </c>
      <c r="G12" s="185">
        <f t="shared" si="0"/>
        <v>29927.4267540881</v>
      </c>
      <c r="H12" s="186"/>
    </row>
    <row r="13" spans="1:8">
      <c r="A13" s="181">
        <v>9</v>
      </c>
      <c r="B13" s="184" t="s">
        <v>26</v>
      </c>
      <c r="C13" s="184" t="s">
        <v>27</v>
      </c>
      <c r="D13" s="184" t="s">
        <v>15</v>
      </c>
      <c r="E13" s="185">
        <f>'车辆+线路牌'!X14</f>
        <v>71478.5809624166</v>
      </c>
      <c r="F13" s="185">
        <f>'车辆+线路牌'!AA14</f>
        <v>15925.9713888889</v>
      </c>
      <c r="G13" s="185">
        <f t="shared" si="0"/>
        <v>87404.5523513055</v>
      </c>
      <c r="H13" s="186"/>
    </row>
    <row r="14" spans="1:8">
      <c r="A14" s="181">
        <v>10</v>
      </c>
      <c r="B14" s="184" t="s">
        <v>26</v>
      </c>
      <c r="C14" s="184" t="s">
        <v>28</v>
      </c>
      <c r="D14" s="184" t="s">
        <v>15</v>
      </c>
      <c r="E14" s="185">
        <f>'车辆+线路牌'!X15</f>
        <v>71478.5809624166</v>
      </c>
      <c r="F14" s="185">
        <f>'车辆+线路牌'!AA15</f>
        <v>15925.9713888889</v>
      </c>
      <c r="G14" s="185">
        <f t="shared" si="0"/>
        <v>87404.5523513055</v>
      </c>
      <c r="H14" s="186"/>
    </row>
    <row r="15" spans="1:8">
      <c r="A15" s="181">
        <v>11</v>
      </c>
      <c r="B15" s="184" t="s">
        <v>26</v>
      </c>
      <c r="C15" s="184" t="s">
        <v>29</v>
      </c>
      <c r="D15" s="184" t="s">
        <v>15</v>
      </c>
      <c r="E15" s="185">
        <f>'车辆+线路牌'!X16</f>
        <v>71478.5809624166</v>
      </c>
      <c r="F15" s="185">
        <f>'车辆+线路牌'!AA16</f>
        <v>15925.9713888889</v>
      </c>
      <c r="G15" s="185">
        <f t="shared" si="0"/>
        <v>87404.5523513055</v>
      </c>
      <c r="H15" s="186"/>
    </row>
    <row r="16" spans="1:8">
      <c r="A16" s="181">
        <v>12</v>
      </c>
      <c r="B16" s="184" t="s">
        <v>26</v>
      </c>
      <c r="C16" s="184" t="s">
        <v>30</v>
      </c>
      <c r="D16" s="184" t="s">
        <v>15</v>
      </c>
      <c r="E16" s="185">
        <f>'车辆+线路牌'!X17</f>
        <v>71478.5809624166</v>
      </c>
      <c r="F16" s="185">
        <f>'车辆+线路牌'!AA17</f>
        <v>15925.9713888889</v>
      </c>
      <c r="G16" s="185">
        <f t="shared" si="0"/>
        <v>87404.5523513055</v>
      </c>
      <c r="H16" s="186"/>
    </row>
    <row r="17" spans="1:8">
      <c r="A17" s="181">
        <v>13</v>
      </c>
      <c r="B17" s="184" t="s">
        <v>26</v>
      </c>
      <c r="C17" s="184" t="s">
        <v>31</v>
      </c>
      <c r="D17" s="184" t="s">
        <v>15</v>
      </c>
      <c r="E17" s="185">
        <f>'车辆+线路牌'!X18</f>
        <v>177995.451586465</v>
      </c>
      <c r="F17" s="185">
        <f>'车辆+线路牌'!AA18</f>
        <v>15925.9713888889</v>
      </c>
      <c r="G17" s="185">
        <f t="shared" si="0"/>
        <v>193921.422975354</v>
      </c>
      <c r="H17" s="186"/>
    </row>
    <row r="18" spans="1:8">
      <c r="A18" s="181">
        <v>14</v>
      </c>
      <c r="B18" s="184" t="s">
        <v>32</v>
      </c>
      <c r="C18" s="184" t="s">
        <v>33</v>
      </c>
      <c r="D18" s="184" t="s">
        <v>34</v>
      </c>
      <c r="E18" s="185">
        <f>'车辆+线路牌'!X19</f>
        <v>26695.4408148929</v>
      </c>
      <c r="F18" s="185">
        <f>'车辆+线路牌'!AA19</f>
        <v>6130.06666666666</v>
      </c>
      <c r="G18" s="185">
        <f t="shared" si="0"/>
        <v>32825.5074815596</v>
      </c>
      <c r="H18" s="186"/>
    </row>
    <row r="19" spans="1:8">
      <c r="A19" s="181">
        <v>15</v>
      </c>
      <c r="B19" s="184" t="s">
        <v>35</v>
      </c>
      <c r="C19" s="184" t="s">
        <v>36</v>
      </c>
      <c r="D19" s="184" t="s">
        <v>34</v>
      </c>
      <c r="E19" s="185">
        <f>'车辆+线路牌'!X20</f>
        <v>39828.1643835616</v>
      </c>
      <c r="F19" s="185">
        <f>'车辆+线路牌'!AA20</f>
        <v>7969.08666666666</v>
      </c>
      <c r="G19" s="185">
        <f t="shared" si="0"/>
        <v>47797.2510502283</v>
      </c>
      <c r="H19" s="186"/>
    </row>
    <row r="20" spans="1:8">
      <c r="A20" s="181">
        <v>16</v>
      </c>
      <c r="B20" s="184" t="s">
        <v>37</v>
      </c>
      <c r="C20" s="184" t="s">
        <v>38</v>
      </c>
      <c r="D20" s="184" t="s">
        <v>34</v>
      </c>
      <c r="E20" s="185">
        <f>'车辆+线路牌'!X21</f>
        <v>60670.9456347813</v>
      </c>
      <c r="F20" s="185">
        <f>'车辆+线路牌'!AA21</f>
        <v>12873.14</v>
      </c>
      <c r="G20" s="185">
        <f t="shared" si="0"/>
        <v>73544.0856347813</v>
      </c>
      <c r="H20" s="186"/>
    </row>
    <row r="21" spans="1:8">
      <c r="A21" s="181">
        <v>17</v>
      </c>
      <c r="B21" s="184" t="s">
        <v>39</v>
      </c>
      <c r="C21" s="184" t="s">
        <v>40</v>
      </c>
      <c r="D21" s="184" t="s">
        <v>34</v>
      </c>
      <c r="E21" s="185">
        <f>'车辆+线路牌'!X22</f>
        <v>26695.4408148929</v>
      </c>
      <c r="F21" s="185">
        <f>'车辆+线路牌'!AA22</f>
        <v>12873.14</v>
      </c>
      <c r="G21" s="185">
        <f t="shared" si="0"/>
        <v>39568.5808148929</v>
      </c>
      <c r="H21" s="186"/>
    </row>
    <row r="22" spans="1:8">
      <c r="A22" s="181">
        <v>18</v>
      </c>
      <c r="B22" s="184" t="s">
        <v>41</v>
      </c>
      <c r="C22" s="184" t="s">
        <v>42</v>
      </c>
      <c r="D22" s="184" t="s">
        <v>43</v>
      </c>
      <c r="E22" s="185">
        <f>'车辆+线路牌'!X23</f>
        <v>19343.64469422</v>
      </c>
      <c r="F22" s="185">
        <f>'车辆+线路牌'!AA23</f>
        <v>6220.90068</v>
      </c>
      <c r="G22" s="185">
        <f t="shared" si="0"/>
        <v>25564.54537422</v>
      </c>
      <c r="H22" s="186"/>
    </row>
    <row r="23" spans="1:8">
      <c r="A23" s="181">
        <v>19</v>
      </c>
      <c r="B23" s="184" t="s">
        <v>41</v>
      </c>
      <c r="C23" s="184" t="s">
        <v>44</v>
      </c>
      <c r="D23" s="184" t="s">
        <v>43</v>
      </c>
      <c r="E23" s="185">
        <f>'车辆+线路牌'!X24</f>
        <v>18387.6161261367</v>
      </c>
      <c r="F23" s="185">
        <f>'车辆+线路牌'!AA24</f>
        <v>6220.90068</v>
      </c>
      <c r="G23" s="185">
        <f t="shared" si="0"/>
        <v>24608.5168061367</v>
      </c>
      <c r="H23" s="186"/>
    </row>
    <row r="24" spans="1:8">
      <c r="A24" s="181">
        <v>20</v>
      </c>
      <c r="B24" s="184" t="s">
        <v>41</v>
      </c>
      <c r="C24" s="184" t="s">
        <v>45</v>
      </c>
      <c r="D24" s="184" t="s">
        <v>43</v>
      </c>
      <c r="E24" s="185">
        <f>'车辆+线路牌'!X25</f>
        <v>149385.038129805</v>
      </c>
      <c r="F24" s="185">
        <f>'车辆+线路牌'!AA25</f>
        <v>34214.95374</v>
      </c>
      <c r="G24" s="185">
        <f t="shared" si="0"/>
        <v>183599.991869805</v>
      </c>
      <c r="H24" s="186"/>
    </row>
    <row r="25" spans="1:8">
      <c r="A25" s="181">
        <v>21</v>
      </c>
      <c r="B25" s="184" t="s">
        <v>41</v>
      </c>
      <c r="C25" s="184" t="s">
        <v>46</v>
      </c>
      <c r="D25" s="184" t="s">
        <v>47</v>
      </c>
      <c r="E25" s="185">
        <f>'车辆+线路牌'!X26</f>
        <v>65608.065566093</v>
      </c>
      <c r="F25" s="185">
        <f>'车辆+线路牌'!AA26</f>
        <v>3321.918375</v>
      </c>
      <c r="G25" s="185">
        <f t="shared" si="0"/>
        <v>68929.983941093</v>
      </c>
      <c r="H25" s="186"/>
    </row>
    <row r="26" spans="1:8">
      <c r="A26" s="181">
        <v>22</v>
      </c>
      <c r="B26" s="184" t="s">
        <v>41</v>
      </c>
      <c r="C26" s="184" t="s">
        <v>48</v>
      </c>
      <c r="D26" s="184" t="s">
        <v>47</v>
      </c>
      <c r="E26" s="185">
        <f>'车辆+线路牌'!X27</f>
        <v>112024.315653905</v>
      </c>
      <c r="F26" s="185">
        <f>'车辆+线路牌'!AA27</f>
        <v>15502.28575</v>
      </c>
      <c r="G26" s="185">
        <f t="shared" si="0"/>
        <v>127526.601403905</v>
      </c>
      <c r="H26" s="186"/>
    </row>
    <row r="27" spans="1:8">
      <c r="A27" s="181">
        <v>23</v>
      </c>
      <c r="B27" s="184" t="s">
        <v>49</v>
      </c>
      <c r="C27" s="184" t="s">
        <v>50</v>
      </c>
      <c r="D27" s="184" t="s">
        <v>51</v>
      </c>
      <c r="E27" s="185">
        <f>'车辆+线路牌'!X28</f>
        <v>21768.4299262381</v>
      </c>
      <c r="F27" s="185">
        <f>'车辆+线路牌'!AA28</f>
        <v>22454.7286324786</v>
      </c>
      <c r="G27" s="185">
        <f t="shared" si="0"/>
        <v>44223.1585587167</v>
      </c>
      <c r="H27" s="186"/>
    </row>
    <row r="28" spans="1:8">
      <c r="A28" s="181">
        <v>24</v>
      </c>
      <c r="B28" s="184" t="s">
        <v>49</v>
      </c>
      <c r="C28" s="184" t="s">
        <v>52</v>
      </c>
      <c r="D28" s="184" t="s">
        <v>51</v>
      </c>
      <c r="E28" s="185">
        <f>'车辆+线路牌'!X29</f>
        <v>21768.4299262381</v>
      </c>
      <c r="F28" s="185">
        <f>'车辆+线路牌'!AA29</f>
        <v>22454.7286324786</v>
      </c>
      <c r="G28" s="185">
        <f t="shared" si="0"/>
        <v>44223.1585587167</v>
      </c>
      <c r="H28" s="186"/>
    </row>
    <row r="29" spans="1:8">
      <c r="A29" s="181">
        <v>25</v>
      </c>
      <c r="B29" s="184" t="s">
        <v>49</v>
      </c>
      <c r="C29" s="184" t="s">
        <v>53</v>
      </c>
      <c r="D29" s="184" t="s">
        <v>51</v>
      </c>
      <c r="E29" s="185">
        <f>'车辆+线路牌'!X30</f>
        <v>27698.7593958553</v>
      </c>
      <c r="F29" s="185">
        <f>'车辆+线路牌'!AA30</f>
        <v>22454.7286324786</v>
      </c>
      <c r="G29" s="185">
        <f t="shared" si="0"/>
        <v>50153.4880283339</v>
      </c>
      <c r="H29" s="186"/>
    </row>
    <row r="30" spans="1:8">
      <c r="A30" s="181">
        <v>26</v>
      </c>
      <c r="B30" s="184" t="s">
        <v>54</v>
      </c>
      <c r="C30" s="184" t="s">
        <v>55</v>
      </c>
      <c r="D30" s="184" t="s">
        <v>56</v>
      </c>
      <c r="E30" s="185">
        <f>'车辆+线路牌'!X31</f>
        <v>30660.0632244468</v>
      </c>
      <c r="F30" s="185">
        <f>'车辆+线路牌'!AA31</f>
        <v>4348.72436657171</v>
      </c>
      <c r="G30" s="185">
        <f t="shared" si="0"/>
        <v>35008.7875910185</v>
      </c>
      <c r="H30" s="186"/>
    </row>
    <row r="31" spans="1:8">
      <c r="A31" s="181">
        <v>27</v>
      </c>
      <c r="B31" s="184" t="s">
        <v>57</v>
      </c>
      <c r="C31" s="184" t="s">
        <v>58</v>
      </c>
      <c r="D31" s="184" t="s">
        <v>59</v>
      </c>
      <c r="E31" s="185">
        <f>'车辆+线路牌'!X32</f>
        <v>43196.5574678999</v>
      </c>
      <c r="F31" s="185">
        <f>'车辆+线路牌'!AA32</f>
        <v>26353.7618708452</v>
      </c>
      <c r="G31" s="185">
        <f t="shared" si="0"/>
        <v>69550.3193387451</v>
      </c>
      <c r="H31" s="186"/>
    </row>
    <row r="32" spans="1:8">
      <c r="A32" s="181">
        <v>28</v>
      </c>
      <c r="B32" s="184" t="s">
        <v>60</v>
      </c>
      <c r="C32" s="184" t="s">
        <v>61</v>
      </c>
      <c r="D32" s="184" t="s">
        <v>13</v>
      </c>
      <c r="E32" s="185">
        <f>'车辆+线路牌'!X33</f>
        <v>33413.1984545135</v>
      </c>
      <c r="F32" s="185">
        <f>'车辆+线路牌'!AA33</f>
        <v>36342.3968000002</v>
      </c>
      <c r="G32" s="185">
        <f t="shared" si="0"/>
        <v>69755.5952545137</v>
      </c>
      <c r="H32" s="186"/>
    </row>
    <row r="33" spans="1:8">
      <c r="A33" s="181">
        <v>29</v>
      </c>
      <c r="B33" s="184" t="s">
        <v>62</v>
      </c>
      <c r="C33" s="184" t="s">
        <v>63</v>
      </c>
      <c r="D33" s="184" t="s">
        <v>64</v>
      </c>
      <c r="E33" s="185">
        <f>'车辆+线路牌'!X34</f>
        <v>26695.4408148929</v>
      </c>
      <c r="F33" s="185">
        <f>'车辆+线路牌'!AA34</f>
        <v>9384.87777777777</v>
      </c>
      <c r="G33" s="185">
        <f t="shared" si="0"/>
        <v>36080.3185926707</v>
      </c>
      <c r="H33" s="186"/>
    </row>
    <row r="34" spans="1:8">
      <c r="A34" s="181">
        <v>30</v>
      </c>
      <c r="B34" s="184" t="s">
        <v>62</v>
      </c>
      <c r="C34" s="184" t="s">
        <v>65</v>
      </c>
      <c r="D34" s="184" t="s">
        <v>64</v>
      </c>
      <c r="E34" s="185">
        <f>'车辆+线路牌'!X35</f>
        <v>49672.8120828943</v>
      </c>
      <c r="F34" s="185">
        <f>'车辆+线路牌'!AA35</f>
        <v>15160.1871794872</v>
      </c>
      <c r="G34" s="185">
        <f t="shared" si="0"/>
        <v>64832.9992623815</v>
      </c>
      <c r="H34" s="186"/>
    </row>
    <row r="35" spans="1:8">
      <c r="A35" s="181">
        <v>31</v>
      </c>
      <c r="B35" s="184" t="s">
        <v>66</v>
      </c>
      <c r="C35" s="184" t="s">
        <v>67</v>
      </c>
      <c r="D35" s="184" t="s">
        <v>68</v>
      </c>
      <c r="E35" s="185">
        <f>'车辆+线路牌'!X36</f>
        <v>22856.9044998634</v>
      </c>
      <c r="F35" s="185">
        <f>'车辆+线路牌'!AA36</f>
        <v>24587.1064738842</v>
      </c>
      <c r="G35" s="185">
        <f t="shared" si="0"/>
        <v>47444.0109737476</v>
      </c>
      <c r="H35" s="186"/>
    </row>
    <row r="36" spans="1:8">
      <c r="A36" s="181">
        <v>32</v>
      </c>
      <c r="B36" s="184" t="s">
        <v>69</v>
      </c>
      <c r="C36" s="184" t="s">
        <v>70</v>
      </c>
      <c r="D36" s="184" t="s">
        <v>71</v>
      </c>
      <c r="E36" s="185">
        <f>'车辆+线路牌'!X37</f>
        <v>65325.0145572337</v>
      </c>
      <c r="F36" s="185">
        <f>'车辆+线路牌'!AA37</f>
        <v>3216.51183760683</v>
      </c>
      <c r="G36" s="185">
        <f t="shared" si="0"/>
        <v>68541.5263948405</v>
      </c>
      <c r="H36" s="186"/>
    </row>
    <row r="37" spans="1:8">
      <c r="A37" s="181">
        <v>33</v>
      </c>
      <c r="B37" s="184" t="s">
        <v>72</v>
      </c>
      <c r="C37" s="184" t="s">
        <v>73</v>
      </c>
      <c r="D37" s="184" t="s">
        <v>71</v>
      </c>
      <c r="E37" s="185">
        <f>'车辆+线路牌'!X38</f>
        <v>105895.414588456</v>
      </c>
      <c r="F37" s="185">
        <f>'车辆+线路牌'!AA38</f>
        <v>2144.34122507122</v>
      </c>
      <c r="G37" s="185">
        <f t="shared" si="0"/>
        <v>108039.755813527</v>
      </c>
      <c r="H37" s="186"/>
    </row>
    <row r="38" spans="1:8">
      <c r="A38" s="181">
        <v>34</v>
      </c>
      <c r="B38" s="184" t="s">
        <v>74</v>
      </c>
      <c r="C38" s="184" t="s">
        <v>75</v>
      </c>
      <c r="D38" s="184" t="s">
        <v>76</v>
      </c>
      <c r="E38" s="185">
        <f>'车辆+线路牌'!X39</f>
        <v>14923.7213441049</v>
      </c>
      <c r="F38" s="185">
        <f>'车辆+线路牌'!AA39</f>
        <v>871.137222222223</v>
      </c>
      <c r="G38" s="185">
        <f t="shared" ref="G38:G66" si="1">E38+F38</f>
        <v>15794.8585663271</v>
      </c>
      <c r="H38" s="186"/>
    </row>
    <row r="39" spans="1:8">
      <c r="A39" s="181">
        <v>35</v>
      </c>
      <c r="B39" s="184" t="s">
        <v>74</v>
      </c>
      <c r="C39" s="184" t="s">
        <v>77</v>
      </c>
      <c r="D39" s="184" t="s">
        <v>76</v>
      </c>
      <c r="E39" s="185">
        <f>'车辆+线路牌'!X40</f>
        <v>14761.0649806814</v>
      </c>
      <c r="F39" s="185">
        <f>'车辆+线路牌'!AA40</f>
        <v>871.137222222223</v>
      </c>
      <c r="G39" s="185">
        <f t="shared" si="1"/>
        <v>15632.2022029036</v>
      </c>
      <c r="H39" s="186"/>
    </row>
    <row r="40" spans="1:8">
      <c r="A40" s="181">
        <v>36</v>
      </c>
      <c r="B40" s="184" t="s">
        <v>74</v>
      </c>
      <c r="C40" s="184" t="s">
        <v>78</v>
      </c>
      <c r="D40" s="184" t="s">
        <v>76</v>
      </c>
      <c r="E40" s="185">
        <f>'车辆+线路牌'!X41</f>
        <v>14761.0649806814</v>
      </c>
      <c r="F40" s="185">
        <f>'车辆+线路牌'!AA41</f>
        <v>871.137222222223</v>
      </c>
      <c r="G40" s="185">
        <f t="shared" si="1"/>
        <v>15632.2022029036</v>
      </c>
      <c r="H40" s="186"/>
    </row>
    <row r="41" spans="1:8">
      <c r="A41" s="181">
        <v>37</v>
      </c>
      <c r="B41" s="184" t="s">
        <v>74</v>
      </c>
      <c r="C41" s="184" t="s">
        <v>79</v>
      </c>
      <c r="D41" s="184" t="s">
        <v>76</v>
      </c>
      <c r="E41" s="185">
        <f>'车辆+线路牌'!X42</f>
        <v>26664.6559731491</v>
      </c>
      <c r="F41" s="185">
        <f>'车辆+线路牌'!AA42</f>
        <v>7840.23500000001</v>
      </c>
      <c r="G41" s="185">
        <f t="shared" si="1"/>
        <v>34504.8909731491</v>
      </c>
      <c r="H41" s="186"/>
    </row>
    <row r="42" spans="1:8">
      <c r="A42" s="181">
        <v>38</v>
      </c>
      <c r="B42" s="184" t="s">
        <v>74</v>
      </c>
      <c r="C42" s="184" t="s">
        <v>80</v>
      </c>
      <c r="D42" s="184" t="s">
        <v>76</v>
      </c>
      <c r="E42" s="185">
        <f>'车辆+线路牌'!X43</f>
        <v>26664.6559731491</v>
      </c>
      <c r="F42" s="185">
        <f>'车辆+线路牌'!AA43</f>
        <v>7840.23500000001</v>
      </c>
      <c r="G42" s="185">
        <f t="shared" si="1"/>
        <v>34504.8909731491</v>
      </c>
      <c r="H42" s="186"/>
    </row>
    <row r="43" spans="1:8">
      <c r="A43" s="181">
        <v>39</v>
      </c>
      <c r="B43" s="184" t="s">
        <v>74</v>
      </c>
      <c r="C43" s="184" t="s">
        <v>81</v>
      </c>
      <c r="D43" s="184" t="s">
        <v>76</v>
      </c>
      <c r="E43" s="185">
        <f>'车辆+线路牌'!X44</f>
        <v>35997.2855637513</v>
      </c>
      <c r="F43" s="185">
        <f>'车辆+线路牌'!AA44</f>
        <v>2613.41166666667</v>
      </c>
      <c r="G43" s="185">
        <f t="shared" si="1"/>
        <v>38610.697230418</v>
      </c>
      <c r="H43" s="186"/>
    </row>
    <row r="44" spans="1:8">
      <c r="A44" s="181">
        <v>40</v>
      </c>
      <c r="B44" s="184" t="s">
        <v>74</v>
      </c>
      <c r="C44" s="184" t="s">
        <v>82</v>
      </c>
      <c r="D44" s="184" t="s">
        <v>76</v>
      </c>
      <c r="E44" s="185">
        <f>'车辆+线路牌'!X45</f>
        <v>35997.2855637513</v>
      </c>
      <c r="F44" s="185">
        <f>'车辆+线路牌'!AA45</f>
        <v>2613.41166666667</v>
      </c>
      <c r="G44" s="185">
        <f t="shared" si="1"/>
        <v>38610.697230418</v>
      </c>
      <c r="H44" s="186"/>
    </row>
    <row r="45" spans="1:8">
      <c r="A45" s="181">
        <v>41</v>
      </c>
      <c r="B45" s="184" t="s">
        <v>74</v>
      </c>
      <c r="C45" s="184" t="s">
        <v>83</v>
      </c>
      <c r="D45" s="184" t="s">
        <v>76</v>
      </c>
      <c r="E45" s="185">
        <f>'车辆+线路牌'!X46</f>
        <v>35997.2855637513</v>
      </c>
      <c r="F45" s="185">
        <f>'车辆+线路牌'!AA46</f>
        <v>32232.0772222223</v>
      </c>
      <c r="G45" s="185">
        <f t="shared" si="1"/>
        <v>68229.3627859736</v>
      </c>
      <c r="H45" s="186"/>
    </row>
    <row r="46" spans="1:8">
      <c r="A46" s="181">
        <v>42</v>
      </c>
      <c r="B46" s="184" t="s">
        <v>74</v>
      </c>
      <c r="C46" s="184" t="s">
        <v>84</v>
      </c>
      <c r="D46" s="184" t="s">
        <v>76</v>
      </c>
      <c r="E46" s="185">
        <f>'车辆+线路牌'!X47</f>
        <v>35997.2855637513</v>
      </c>
      <c r="F46" s="185">
        <f>'车辆+线路牌'!AA47</f>
        <v>32232.0772222223</v>
      </c>
      <c r="G46" s="185">
        <f t="shared" si="1"/>
        <v>68229.3627859736</v>
      </c>
      <c r="H46" s="186"/>
    </row>
    <row r="47" spans="1:8">
      <c r="A47" s="181">
        <v>43</v>
      </c>
      <c r="B47" s="184" t="s">
        <v>74</v>
      </c>
      <c r="C47" s="184" t="s">
        <v>85</v>
      </c>
      <c r="D47" s="184" t="s">
        <v>76</v>
      </c>
      <c r="E47" s="185">
        <f>'车辆+线路牌'!X48</f>
        <v>65489.3219373219</v>
      </c>
      <c r="F47" s="185">
        <f>'车辆+线路牌'!AA48</f>
        <v>871.137222222223</v>
      </c>
      <c r="G47" s="185">
        <f t="shared" si="1"/>
        <v>66360.4591595441</v>
      </c>
      <c r="H47" s="186"/>
    </row>
    <row r="48" spans="1:8">
      <c r="A48" s="181">
        <v>44</v>
      </c>
      <c r="B48" s="184" t="s">
        <v>74</v>
      </c>
      <c r="C48" s="184" t="s">
        <v>86</v>
      </c>
      <c r="D48" s="184" t="s">
        <v>76</v>
      </c>
      <c r="E48" s="185">
        <f>'车辆+线路牌'!X49</f>
        <v>57688.3306404402</v>
      </c>
      <c r="F48" s="185">
        <f>'车辆+线路牌'!AA49</f>
        <v>871.137222222223</v>
      </c>
      <c r="G48" s="185">
        <f t="shared" si="1"/>
        <v>58559.4678626624</v>
      </c>
      <c r="H48" s="186"/>
    </row>
    <row r="49" spans="1:8">
      <c r="A49" s="181">
        <v>45</v>
      </c>
      <c r="B49" s="184" t="s">
        <v>87</v>
      </c>
      <c r="C49" s="184" t="s">
        <v>88</v>
      </c>
      <c r="D49" s="184" t="s">
        <v>76</v>
      </c>
      <c r="E49" s="185">
        <f>'车辆+线路牌'!X50</f>
        <v>36056.982554736</v>
      </c>
      <c r="F49" s="185">
        <f>'车辆+线路牌'!AA50</f>
        <v>32232.0772222223</v>
      </c>
      <c r="G49" s="185">
        <f t="shared" si="1"/>
        <v>68289.0597769583</v>
      </c>
      <c r="H49" s="186"/>
    </row>
    <row r="50" spans="1:8">
      <c r="A50" s="181">
        <v>46</v>
      </c>
      <c r="B50" s="184" t="s">
        <v>89</v>
      </c>
      <c r="C50" s="184" t="s">
        <v>90</v>
      </c>
      <c r="D50" s="184" t="s">
        <v>91</v>
      </c>
      <c r="E50" s="185">
        <f>'车辆+线路牌'!X51</f>
        <v>26593.5280021855</v>
      </c>
      <c r="F50" s="185">
        <f>'车辆+线路牌'!AA51</f>
        <v>3195.48774928775</v>
      </c>
      <c r="G50" s="185">
        <f t="shared" si="1"/>
        <v>29789.0157514732</v>
      </c>
      <c r="H50" s="186"/>
    </row>
    <row r="51" spans="1:8">
      <c r="A51" s="181">
        <v>47</v>
      </c>
      <c r="B51" s="184" t="s">
        <v>92</v>
      </c>
      <c r="C51" s="184" t="s">
        <v>93</v>
      </c>
      <c r="D51" s="184" t="s">
        <v>94</v>
      </c>
      <c r="E51" s="185">
        <f>'车辆+线路牌'!X52</f>
        <v>34542.8254302775</v>
      </c>
      <c r="F51" s="185">
        <f>'车辆+线路牌'!AA52</f>
        <v>2045.18803418803</v>
      </c>
      <c r="G51" s="185">
        <f t="shared" si="1"/>
        <v>36588.0134644655</v>
      </c>
      <c r="H51" s="186"/>
    </row>
    <row r="52" spans="1:8">
      <c r="A52" s="181">
        <v>48</v>
      </c>
      <c r="B52" s="184" t="s">
        <v>95</v>
      </c>
      <c r="C52" s="184" t="s">
        <v>96</v>
      </c>
      <c r="D52" s="184" t="s">
        <v>97</v>
      </c>
      <c r="E52" s="185">
        <f>'车辆+线路牌'!X53</f>
        <v>33754.5036880927</v>
      </c>
      <c r="F52" s="185">
        <f>'车辆+线路牌'!AA53</f>
        <v>0</v>
      </c>
      <c r="G52" s="185">
        <f t="shared" si="1"/>
        <v>33754.5036880927</v>
      </c>
      <c r="H52" s="186"/>
    </row>
    <row r="53" spans="1:8">
      <c r="A53" s="181">
        <v>49</v>
      </c>
      <c r="B53" s="184" t="s">
        <v>98</v>
      </c>
      <c r="C53" s="184" t="s">
        <v>99</v>
      </c>
      <c r="D53" s="184" t="s">
        <v>100</v>
      </c>
      <c r="E53" s="185">
        <f>'车辆+线路牌'!X54</f>
        <v>30886.1735159817</v>
      </c>
      <c r="F53" s="185">
        <f>'车辆+线路牌'!AA54</f>
        <v>0</v>
      </c>
      <c r="G53" s="185">
        <f t="shared" si="1"/>
        <v>30886.1735159817</v>
      </c>
      <c r="H53" s="186"/>
    </row>
    <row r="54" spans="1:8">
      <c r="A54" s="181">
        <v>50</v>
      </c>
      <c r="B54" s="184" t="s">
        <v>101</v>
      </c>
      <c r="C54" s="184" t="s">
        <v>102</v>
      </c>
      <c r="D54" s="184" t="s">
        <v>103</v>
      </c>
      <c r="E54" s="185">
        <f>'车辆+线路牌'!X55</f>
        <v>34076.9989462592</v>
      </c>
      <c r="F54" s="185">
        <f>'车辆+线路牌'!AA55</f>
        <v>2241.86803418803</v>
      </c>
      <c r="G54" s="185">
        <f t="shared" si="1"/>
        <v>36318.8669804472</v>
      </c>
      <c r="H54" s="186"/>
    </row>
    <row r="55" spans="1:8">
      <c r="A55" s="181">
        <v>51</v>
      </c>
      <c r="B55" s="184" t="s">
        <v>104</v>
      </c>
      <c r="C55" s="184" t="s">
        <v>105</v>
      </c>
      <c r="D55" s="184" t="s">
        <v>103</v>
      </c>
      <c r="E55" s="185">
        <f>'车辆+线路牌'!X56</f>
        <v>34309.9121882684</v>
      </c>
      <c r="F55" s="185">
        <f>'车辆+线路牌'!AA56</f>
        <v>5044.20307692307</v>
      </c>
      <c r="G55" s="185">
        <f t="shared" si="1"/>
        <v>39354.1152651915</v>
      </c>
      <c r="H55" s="186"/>
    </row>
    <row r="56" spans="1:8">
      <c r="A56" s="181">
        <v>52</v>
      </c>
      <c r="B56" s="184" t="s">
        <v>101</v>
      </c>
      <c r="C56" s="184" t="s">
        <v>106</v>
      </c>
      <c r="D56" s="184" t="s">
        <v>107</v>
      </c>
      <c r="E56" s="185">
        <f>'车辆+线路牌'!X57</f>
        <v>34076.9989462592</v>
      </c>
      <c r="F56" s="185">
        <f>'车辆+线路牌'!AA57</f>
        <v>2620.84403418804</v>
      </c>
      <c r="G56" s="185">
        <f t="shared" si="1"/>
        <v>36697.8429804472</v>
      </c>
      <c r="H56" s="186"/>
    </row>
    <row r="57" spans="1:8">
      <c r="A57" s="181">
        <v>53</v>
      </c>
      <c r="B57" s="184" t="s">
        <v>108</v>
      </c>
      <c r="C57" s="184" t="s">
        <v>109</v>
      </c>
      <c r="D57" s="184" t="s">
        <v>110</v>
      </c>
      <c r="E57" s="185">
        <f>'车辆+线路牌'!X58</f>
        <v>30780.3807516684</v>
      </c>
      <c r="F57" s="185">
        <f>'车辆+线路牌'!AA58</f>
        <v>2810.38856752136</v>
      </c>
      <c r="G57" s="185">
        <f t="shared" si="1"/>
        <v>33590.7693191898</v>
      </c>
      <c r="H57" s="186"/>
    </row>
    <row r="58" spans="1:8">
      <c r="A58" s="181">
        <v>54</v>
      </c>
      <c r="B58" s="184" t="s">
        <v>111</v>
      </c>
      <c r="C58" s="184" t="s">
        <v>112</v>
      </c>
      <c r="D58" s="184" t="s">
        <v>113</v>
      </c>
      <c r="E58" s="185">
        <f>'车辆+线路牌'!X59</f>
        <v>27662.9265893923</v>
      </c>
      <c r="F58" s="185">
        <f>'车辆+线路牌'!AA59</f>
        <v>12044.2501282051</v>
      </c>
      <c r="G58" s="185">
        <f t="shared" si="1"/>
        <v>39707.1767175974</v>
      </c>
      <c r="H58" s="186"/>
    </row>
    <row r="59" spans="1:8">
      <c r="A59" s="181">
        <v>55</v>
      </c>
      <c r="B59" s="184" t="s">
        <v>111</v>
      </c>
      <c r="C59" s="184" t="s">
        <v>114</v>
      </c>
      <c r="D59" s="184" t="s">
        <v>113</v>
      </c>
      <c r="E59" s="185">
        <f>'车辆+线路牌'!X60</f>
        <v>27662.9265893923</v>
      </c>
      <c r="F59" s="185">
        <f>'车辆+线路牌'!AA60</f>
        <v>12044.2501282051</v>
      </c>
      <c r="G59" s="185">
        <f t="shared" si="1"/>
        <v>39707.1767175974</v>
      </c>
      <c r="H59" s="186"/>
    </row>
    <row r="60" spans="1:8">
      <c r="A60" s="181">
        <v>56</v>
      </c>
      <c r="B60" s="184" t="s">
        <v>111</v>
      </c>
      <c r="C60" s="184" t="s">
        <v>115</v>
      </c>
      <c r="D60" s="184" t="s">
        <v>116</v>
      </c>
      <c r="E60" s="185">
        <f>'车辆+线路牌'!X61</f>
        <v>37445.2827537759</v>
      </c>
      <c r="F60" s="185">
        <f>'车辆+线路牌'!AA61</f>
        <v>6081.30307692307</v>
      </c>
      <c r="G60" s="185">
        <f t="shared" si="1"/>
        <v>43526.585830699</v>
      </c>
      <c r="H60" s="186"/>
    </row>
    <row r="61" spans="1:8">
      <c r="A61" s="181">
        <v>57</v>
      </c>
      <c r="B61" s="184" t="s">
        <v>117</v>
      </c>
      <c r="C61" s="184" t="s">
        <v>118</v>
      </c>
      <c r="D61" s="184" t="s">
        <v>119</v>
      </c>
      <c r="E61" s="185">
        <f>'车辆+线路牌'!X62</f>
        <v>44576.0112399017</v>
      </c>
      <c r="F61" s="185">
        <f>'车辆+线路牌'!AA62</f>
        <v>13659.6311965812</v>
      </c>
      <c r="G61" s="185">
        <f t="shared" si="1"/>
        <v>58235.6424364829</v>
      </c>
      <c r="H61" s="186"/>
    </row>
    <row r="62" spans="1:8">
      <c r="A62" s="181">
        <v>58</v>
      </c>
      <c r="B62" s="184" t="s">
        <v>120</v>
      </c>
      <c r="C62" s="184" t="s">
        <v>121</v>
      </c>
      <c r="D62" s="184" t="s">
        <v>122</v>
      </c>
      <c r="E62" s="185">
        <f>'车辆+线路牌'!X63</f>
        <v>110276.418530227</v>
      </c>
      <c r="F62" s="185">
        <f>'车辆+线路牌'!AA63</f>
        <v>25981.6590693257</v>
      </c>
      <c r="G62" s="185">
        <f t="shared" si="1"/>
        <v>136258.077599553</v>
      </c>
      <c r="H62" s="186"/>
    </row>
    <row r="63" spans="1:8">
      <c r="A63" s="181">
        <v>59</v>
      </c>
      <c r="B63" s="184" t="s">
        <v>123</v>
      </c>
      <c r="C63" s="184" t="s">
        <v>124</v>
      </c>
      <c r="D63" s="184" t="s">
        <v>122</v>
      </c>
      <c r="E63" s="185">
        <f>'车辆+线路牌'!X64</f>
        <v>73690.6179604262</v>
      </c>
      <c r="F63" s="185">
        <f>'车辆+线路牌'!AA64</f>
        <v>2687.75783475783</v>
      </c>
      <c r="G63" s="185">
        <f t="shared" si="1"/>
        <v>76378.375795184</v>
      </c>
      <c r="H63" s="186"/>
    </row>
    <row r="64" spans="1:8">
      <c r="A64" s="181">
        <v>60</v>
      </c>
      <c r="B64" s="184" t="s">
        <v>125</v>
      </c>
      <c r="C64" s="184" t="s">
        <v>126</v>
      </c>
      <c r="D64" s="184" t="s">
        <v>127</v>
      </c>
      <c r="E64" s="185"/>
      <c r="F64" s="185">
        <f>'车辆+线路牌'!AA65</f>
        <v>0</v>
      </c>
      <c r="G64" s="185">
        <f t="shared" si="1"/>
        <v>0</v>
      </c>
      <c r="H64" s="186"/>
    </row>
    <row r="65" spans="1:8">
      <c r="A65" s="181">
        <v>61</v>
      </c>
      <c r="B65" s="184" t="s">
        <v>125</v>
      </c>
      <c r="C65" s="184" t="s">
        <v>128</v>
      </c>
      <c r="D65" s="184" t="s">
        <v>127</v>
      </c>
      <c r="E65" s="185"/>
      <c r="F65" s="185">
        <f>'车辆+线路牌'!AA66</f>
        <v>0</v>
      </c>
      <c r="G65" s="185">
        <f t="shared" si="1"/>
        <v>0</v>
      </c>
      <c r="H65" s="186"/>
    </row>
    <row r="66" spans="1:8">
      <c r="A66" s="181">
        <v>62</v>
      </c>
      <c r="B66" s="184" t="s">
        <v>125</v>
      </c>
      <c r="C66" s="184" t="s">
        <v>129</v>
      </c>
      <c r="D66" s="184" t="s">
        <v>127</v>
      </c>
      <c r="E66" s="185"/>
      <c r="F66" s="185">
        <f>'车辆+线路牌'!AA67</f>
        <v>0</v>
      </c>
      <c r="G66" s="185">
        <f t="shared" si="1"/>
        <v>0</v>
      </c>
      <c r="H66" s="186"/>
    </row>
    <row r="67" spans="1:8">
      <c r="A67" s="187" t="s">
        <v>130</v>
      </c>
      <c r="B67" s="188"/>
      <c r="C67" s="189"/>
      <c r="D67" s="186"/>
      <c r="E67" s="190">
        <f>SUM(E5:E66)</f>
        <v>3044146.79155446</v>
      </c>
      <c r="F67" s="190">
        <f>SUM(F5:F66)</f>
        <v>666670.42961009</v>
      </c>
      <c r="G67" s="190">
        <f>SUM(G5:G66)</f>
        <v>3710817.22116455</v>
      </c>
      <c r="H67" s="186"/>
    </row>
    <row r="69" spans="7:7">
      <c r="G69" s="191"/>
    </row>
  </sheetData>
  <mergeCells count="3">
    <mergeCell ref="A1:H1"/>
    <mergeCell ref="A2:H2"/>
    <mergeCell ref="A67:C6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83"/>
  <sheetViews>
    <sheetView workbookViewId="0">
      <pane ySplit="5" topLeftCell="A45" activePane="bottomLeft" state="frozen"/>
      <selection/>
      <selection pane="bottomLeft" activeCell="O63" sqref="O63"/>
    </sheetView>
  </sheetViews>
  <sheetFormatPr defaultColWidth="9" defaultRowHeight="13.5"/>
  <cols>
    <col min="1" max="1" width="4.5" style="103" customWidth="1"/>
    <col min="2" max="2" width="7.375" customWidth="1"/>
    <col min="3" max="3" width="6.75" customWidth="1"/>
    <col min="4" max="4" width="11" customWidth="1"/>
    <col min="5" max="5" width="7.875" style="103" customWidth="1"/>
    <col min="6" max="6" width="10.25" customWidth="1"/>
    <col min="7" max="7" width="9" style="104"/>
    <col min="8" max="8" width="7.625" style="105" customWidth="1"/>
    <col min="9" max="10" width="9" style="104"/>
    <col min="11" max="12" width="8.5" style="104" customWidth="1"/>
    <col min="13" max="13" width="7.625" style="104" customWidth="1"/>
    <col min="14" max="14" width="7.5" customWidth="1"/>
    <col min="16" max="16" width="9.625" hidden="1" customWidth="1"/>
    <col min="17" max="17" width="7" style="103" hidden="1" customWidth="1"/>
    <col min="18" max="18" width="13.125" hidden="1" customWidth="1"/>
    <col min="19" max="19" width="11.25" hidden="1" customWidth="1"/>
    <col min="20" max="20" width="7.375" style="103" hidden="1" customWidth="1"/>
    <col min="21" max="21" width="12.625" hidden="1" customWidth="1"/>
    <col min="22" max="22" width="9.375" customWidth="1"/>
    <col min="23" max="23" width="7.375" style="103" customWidth="1"/>
    <col min="24" max="24" width="10.625" customWidth="1"/>
    <col min="25" max="25" width="9.75" customWidth="1"/>
    <col min="27" max="27" width="11" customWidth="1"/>
    <col min="28" max="28" width="10.875" customWidth="1"/>
    <col min="29" max="29" width="8.75" customWidth="1"/>
  </cols>
  <sheetData>
    <row r="1" ht="25" customHeight="1" spans="1:29">
      <c r="A1" s="106" t="s">
        <v>0</v>
      </c>
      <c r="B1" s="106"/>
      <c r="C1" s="106"/>
      <c r="D1" s="106"/>
      <c r="E1" s="106"/>
      <c r="F1" s="106"/>
      <c r="G1" s="107"/>
      <c r="H1" s="108"/>
      <c r="I1" s="107"/>
      <c r="J1" s="107"/>
      <c r="K1" s="107"/>
      <c r="L1" s="107"/>
      <c r="M1" s="107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ht="15" customHeight="1" spans="1:32">
      <c r="A2" s="109" t="s">
        <v>1</v>
      </c>
      <c r="B2" s="109"/>
      <c r="C2" s="109"/>
      <c r="D2" s="109"/>
      <c r="E2" s="109"/>
      <c r="F2" s="109"/>
      <c r="G2" s="110"/>
      <c r="H2" s="111"/>
      <c r="I2" s="110"/>
      <c r="J2" s="110"/>
      <c r="K2" s="110"/>
      <c r="L2" s="110"/>
      <c r="M2" s="110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50"/>
      <c r="AE2" s="150"/>
      <c r="AF2" s="150"/>
    </row>
    <row r="3" spans="1:32">
      <c r="A3" s="110"/>
      <c r="B3" s="112"/>
      <c r="C3" s="112"/>
      <c r="D3" s="112"/>
      <c r="E3" s="109"/>
      <c r="F3" s="112"/>
      <c r="G3" s="110"/>
      <c r="H3" s="111"/>
      <c r="I3" s="110"/>
      <c r="J3" s="110"/>
      <c r="K3" s="110"/>
      <c r="L3" s="110"/>
      <c r="M3" s="110"/>
      <c r="N3" s="112"/>
      <c r="O3" s="112"/>
      <c r="P3" s="112"/>
      <c r="Q3" s="109"/>
      <c r="R3" s="112"/>
      <c r="S3" s="112"/>
      <c r="T3" s="109"/>
      <c r="U3" s="112"/>
      <c r="V3" s="112"/>
      <c r="W3" s="109"/>
      <c r="X3" s="112"/>
      <c r="Y3" s="112"/>
      <c r="Z3" s="112"/>
      <c r="AA3" s="112"/>
      <c r="AB3" s="112"/>
      <c r="AC3" s="151" t="s">
        <v>2</v>
      </c>
      <c r="AD3" s="150"/>
      <c r="AE3" s="150"/>
      <c r="AF3" s="150"/>
    </row>
    <row r="4" spans="1:32">
      <c r="A4" s="113" t="s">
        <v>3</v>
      </c>
      <c r="B4" s="113" t="s">
        <v>4</v>
      </c>
      <c r="C4" s="113" t="s">
        <v>5</v>
      </c>
      <c r="D4" s="113" t="s">
        <v>6</v>
      </c>
      <c r="E4" s="113" t="s">
        <v>131</v>
      </c>
      <c r="F4" s="114" t="s">
        <v>132</v>
      </c>
      <c r="G4" s="115" t="s">
        <v>133</v>
      </c>
      <c r="H4" s="116" t="s">
        <v>134</v>
      </c>
      <c r="I4" s="125" t="s">
        <v>135</v>
      </c>
      <c r="J4" s="126" t="s">
        <v>136</v>
      </c>
      <c r="K4" s="126" t="s">
        <v>137</v>
      </c>
      <c r="L4" s="126" t="s">
        <v>138</v>
      </c>
      <c r="M4" s="127" t="s">
        <v>139</v>
      </c>
      <c r="N4" s="128" t="s">
        <v>140</v>
      </c>
      <c r="O4" s="127" t="s">
        <v>141</v>
      </c>
      <c r="P4" s="129" t="s">
        <v>142</v>
      </c>
      <c r="Q4" s="144"/>
      <c r="R4" s="145"/>
      <c r="S4" s="129" t="s">
        <v>143</v>
      </c>
      <c r="T4" s="144"/>
      <c r="U4" s="145"/>
      <c r="V4" s="129" t="s">
        <v>144</v>
      </c>
      <c r="W4" s="144"/>
      <c r="X4" s="144"/>
      <c r="Y4" s="125" t="s">
        <v>145</v>
      </c>
      <c r="Z4" s="152" t="s">
        <v>146</v>
      </c>
      <c r="AA4" s="153" t="s">
        <v>8</v>
      </c>
      <c r="AB4" s="154" t="s">
        <v>9</v>
      </c>
      <c r="AC4" s="113" t="s">
        <v>10</v>
      </c>
      <c r="AD4" s="150"/>
      <c r="AE4" s="150"/>
      <c r="AF4" s="150"/>
    </row>
    <row r="5" spans="1:32">
      <c r="A5" s="117"/>
      <c r="B5" s="117"/>
      <c r="C5" s="117"/>
      <c r="D5" s="117"/>
      <c r="E5" s="117"/>
      <c r="F5" s="114"/>
      <c r="G5" s="115"/>
      <c r="H5" s="116"/>
      <c r="I5" s="125"/>
      <c r="J5" s="130"/>
      <c r="K5" s="130"/>
      <c r="L5" s="130"/>
      <c r="M5" s="131"/>
      <c r="N5" s="132"/>
      <c r="O5" s="131"/>
      <c r="P5" s="114" t="s">
        <v>147</v>
      </c>
      <c r="Q5" s="114" t="s">
        <v>148</v>
      </c>
      <c r="R5" s="114" t="s">
        <v>149</v>
      </c>
      <c r="S5" s="114" t="s">
        <v>147</v>
      </c>
      <c r="T5" s="114" t="s">
        <v>148</v>
      </c>
      <c r="U5" s="114" t="s">
        <v>149</v>
      </c>
      <c r="V5" s="146" t="s">
        <v>147</v>
      </c>
      <c r="W5" s="146" t="s">
        <v>148</v>
      </c>
      <c r="X5" s="147" t="s">
        <v>149</v>
      </c>
      <c r="Y5" s="125"/>
      <c r="Z5" s="155"/>
      <c r="AA5" s="156"/>
      <c r="AB5" s="157"/>
      <c r="AC5" s="117"/>
      <c r="AD5" s="150"/>
      <c r="AE5" s="150"/>
      <c r="AF5" s="150"/>
    </row>
    <row r="6" spans="1:32">
      <c r="A6" s="114">
        <v>1</v>
      </c>
      <c r="B6" s="118" t="s">
        <v>11</v>
      </c>
      <c r="C6" s="118" t="s">
        <v>12</v>
      </c>
      <c r="D6" s="118" t="s">
        <v>13</v>
      </c>
      <c r="E6" s="114" t="s">
        <v>150</v>
      </c>
      <c r="F6" s="118" t="s">
        <v>151</v>
      </c>
      <c r="G6" s="119">
        <v>41178</v>
      </c>
      <c r="H6" s="120">
        <v>10.7671232876712</v>
      </c>
      <c r="I6" s="133">
        <v>4.23287671232877</v>
      </c>
      <c r="J6" s="134">
        <v>42920</v>
      </c>
      <c r="K6" s="134">
        <v>45110</v>
      </c>
      <c r="L6" s="134">
        <v>45382</v>
      </c>
      <c r="M6" s="135">
        <f>(K6-L6)/365</f>
        <v>-0.745205479452055</v>
      </c>
      <c r="N6" s="136"/>
      <c r="O6" s="137">
        <v>9</v>
      </c>
      <c r="P6" s="138">
        <v>271767.521367521</v>
      </c>
      <c r="Q6" s="148">
        <v>0.316606666666667</v>
      </c>
      <c r="R6" s="138">
        <v>86043.4090484331</v>
      </c>
      <c r="S6" s="138">
        <v>271767.521367521</v>
      </c>
      <c r="T6" s="148">
        <v>0.212504632663061</v>
      </c>
      <c r="U6" s="138">
        <v>57751.8572979556</v>
      </c>
      <c r="V6" s="149">
        <f>车辆评估!Z6</f>
        <v>271767.521367521</v>
      </c>
      <c r="W6" s="148">
        <f>车辆评估!AA6</f>
        <v>0.232146118721461</v>
      </c>
      <c r="X6" s="149">
        <f>V6*W6</f>
        <v>63089.7752800217</v>
      </c>
      <c r="Y6" s="149">
        <f>线路牌评估!T8</f>
        <v>11182.2759384616</v>
      </c>
      <c r="Z6" s="149">
        <f>Y6/12</f>
        <v>931.856328205133</v>
      </c>
      <c r="AA6" s="149">
        <f>Z6*O6</f>
        <v>8386.7069538462</v>
      </c>
      <c r="AB6" s="149">
        <f>X6+AA6</f>
        <v>71476.4822338679</v>
      </c>
      <c r="AC6" s="118"/>
      <c r="AD6" s="150"/>
      <c r="AE6" s="150"/>
      <c r="AF6" s="150"/>
    </row>
    <row r="7" spans="1:32">
      <c r="A7" s="114">
        <v>2</v>
      </c>
      <c r="B7" s="118" t="s">
        <v>11</v>
      </c>
      <c r="C7" s="118" t="s">
        <v>14</v>
      </c>
      <c r="D7" s="118" t="s">
        <v>15</v>
      </c>
      <c r="E7" s="114" t="s">
        <v>150</v>
      </c>
      <c r="F7" s="118" t="s">
        <v>151</v>
      </c>
      <c r="G7" s="119">
        <v>43731</v>
      </c>
      <c r="H7" s="120">
        <v>3.77260273972603</v>
      </c>
      <c r="I7" s="133">
        <v>11.227397260274</v>
      </c>
      <c r="J7" s="134">
        <v>44706</v>
      </c>
      <c r="K7" s="134">
        <v>46166</v>
      </c>
      <c r="L7" s="134">
        <f>L6</f>
        <v>45382</v>
      </c>
      <c r="M7" s="135">
        <f>(K7-L7)/365</f>
        <v>2.14794520547945</v>
      </c>
      <c r="N7" s="136">
        <f>(K7-J7)/30.5</f>
        <v>47.8688524590164</v>
      </c>
      <c r="O7" s="137">
        <v>26</v>
      </c>
      <c r="P7" s="138">
        <v>356434.188034188</v>
      </c>
      <c r="Q7" s="148">
        <v>0.663065</v>
      </c>
      <c r="R7" s="138">
        <v>236339.034888889</v>
      </c>
      <c r="S7" s="138">
        <v>356434.188034188</v>
      </c>
      <c r="T7" s="148">
        <v>0.578633738666273</v>
      </c>
      <c r="U7" s="138">
        <v>206244.8468107</v>
      </c>
      <c r="V7" s="149">
        <f>车辆评估!Z7</f>
        <v>356434.188034188</v>
      </c>
      <c r="W7" s="148">
        <f>车辆评估!AA7</f>
        <v>0.698447488584475</v>
      </c>
      <c r="X7" s="149">
        <f t="shared" ref="X7:X38" si="0">V7*W7</f>
        <v>248950.563478125</v>
      </c>
      <c r="Y7" s="149">
        <f>线路牌评估!T10</f>
        <v>14700.8966666667</v>
      </c>
      <c r="Z7" s="149">
        <f>Y7/12</f>
        <v>1225.07472222222</v>
      </c>
      <c r="AA7" s="149">
        <f>Z7*O7</f>
        <v>31851.9427777777</v>
      </c>
      <c r="AB7" s="149">
        <f t="shared" ref="AB7:AB38" si="1">X7+AA7</f>
        <v>280802.506255903</v>
      </c>
      <c r="AC7" s="118"/>
      <c r="AD7" s="150"/>
      <c r="AE7" s="150"/>
      <c r="AF7" s="150"/>
    </row>
    <row r="8" spans="1:32">
      <c r="A8" s="114">
        <v>3</v>
      </c>
      <c r="B8" s="118" t="s">
        <v>11</v>
      </c>
      <c r="C8" s="118" t="s">
        <v>16</v>
      </c>
      <c r="D8" s="118" t="s">
        <v>13</v>
      </c>
      <c r="E8" s="114" t="s">
        <v>152</v>
      </c>
      <c r="F8" s="118" t="s">
        <v>151</v>
      </c>
      <c r="G8" s="119">
        <v>41514</v>
      </c>
      <c r="H8" s="120">
        <v>9.84657534246575</v>
      </c>
      <c r="I8" s="133">
        <v>5.15342465753425</v>
      </c>
      <c r="J8" s="134">
        <v>44562</v>
      </c>
      <c r="K8" s="134">
        <v>46022</v>
      </c>
      <c r="L8" s="134">
        <f t="shared" ref="L8:L39" si="2">L7</f>
        <v>45382</v>
      </c>
      <c r="M8" s="135">
        <f t="shared" ref="M8:M39" si="3">(K8-L8)/365</f>
        <v>1.75342465753425</v>
      </c>
      <c r="N8" s="136">
        <v>21.041095890411</v>
      </c>
      <c r="O8" s="137">
        <v>21</v>
      </c>
      <c r="P8" s="138">
        <v>228348.717948718</v>
      </c>
      <c r="Q8" s="148">
        <v>0.690733333333333</v>
      </c>
      <c r="R8" s="138">
        <v>157728.071111111</v>
      </c>
      <c r="S8" s="138">
        <v>228348.717948718</v>
      </c>
      <c r="T8" s="148">
        <v>0.242132669150306</v>
      </c>
      <c r="U8" s="138">
        <v>55290.6845739734</v>
      </c>
      <c r="V8" s="149">
        <f>车辆评估!Z8</f>
        <v>228348.717948718</v>
      </c>
      <c r="W8" s="148">
        <f>车辆评估!AA8</f>
        <v>0.29351598173516</v>
      </c>
      <c r="X8" s="149">
        <f t="shared" si="0"/>
        <v>67023.998126683</v>
      </c>
      <c r="Y8" s="149">
        <f>Y6</f>
        <v>11182.2759384616</v>
      </c>
      <c r="Z8" s="149">
        <f>Z6</f>
        <v>931.856328205133</v>
      </c>
      <c r="AA8" s="149">
        <f>Z8*O8</f>
        <v>19568.9828923078</v>
      </c>
      <c r="AB8" s="149">
        <f t="shared" si="1"/>
        <v>86592.9810189908</v>
      </c>
      <c r="AC8" s="118"/>
      <c r="AD8" s="150"/>
      <c r="AE8" s="150"/>
      <c r="AF8" s="150"/>
    </row>
    <row r="9" spans="1:32">
      <c r="A9" s="114">
        <v>4</v>
      </c>
      <c r="B9" s="118" t="s">
        <v>17</v>
      </c>
      <c r="C9" s="118" t="s">
        <v>18</v>
      </c>
      <c r="D9" s="118" t="s">
        <v>19</v>
      </c>
      <c r="E9" s="114" t="s">
        <v>150</v>
      </c>
      <c r="F9" s="118" t="s">
        <v>153</v>
      </c>
      <c r="G9" s="119">
        <v>43105</v>
      </c>
      <c r="H9" s="120">
        <v>5.48767123287671</v>
      </c>
      <c r="I9" s="133">
        <v>9.51232876712329</v>
      </c>
      <c r="J9" s="134">
        <v>43312</v>
      </c>
      <c r="K9" s="134">
        <v>45503</v>
      </c>
      <c r="L9" s="134">
        <f t="shared" si="2"/>
        <v>45382</v>
      </c>
      <c r="M9" s="135">
        <f t="shared" si="3"/>
        <v>0.331506849315069</v>
      </c>
      <c r="N9" s="136">
        <v>3.97808219178082</v>
      </c>
      <c r="O9" s="137">
        <v>4</v>
      </c>
      <c r="P9" s="138">
        <v>278280.341880342</v>
      </c>
      <c r="Q9" s="148">
        <v>0.59002</v>
      </c>
      <c r="R9" s="138">
        <v>164190.967316239</v>
      </c>
      <c r="S9" s="138">
        <v>278280.341880342</v>
      </c>
      <c r="T9" s="148">
        <v>0.456349140765443</v>
      </c>
      <c r="U9" s="138">
        <v>126992.994909008</v>
      </c>
      <c r="V9" s="149">
        <f>车辆评估!Z9</f>
        <v>278280.341880342</v>
      </c>
      <c r="W9" s="148">
        <f>车辆评估!AA9</f>
        <v>0.584109589041096</v>
      </c>
      <c r="X9" s="149">
        <f t="shared" si="0"/>
        <v>162546.216133942</v>
      </c>
      <c r="Y9" s="149">
        <f>线路牌评估!T12</f>
        <v>13506.4449287749</v>
      </c>
      <c r="Z9" s="149">
        <f>Y9/12</f>
        <v>1125.53707739791</v>
      </c>
      <c r="AA9" s="149">
        <f>Z9*O9</f>
        <v>4502.14830959164</v>
      </c>
      <c r="AB9" s="149">
        <f t="shared" si="1"/>
        <v>167048.364443534</v>
      </c>
      <c r="AC9" s="118"/>
      <c r="AD9" s="150"/>
      <c r="AE9" s="150"/>
      <c r="AF9" s="150"/>
    </row>
    <row r="10" spans="1:32">
      <c r="A10" s="114">
        <v>5</v>
      </c>
      <c r="B10" s="118" t="s">
        <v>20</v>
      </c>
      <c r="C10" s="118" t="s">
        <v>21</v>
      </c>
      <c r="D10" s="118" t="s">
        <v>22</v>
      </c>
      <c r="E10" s="114" t="s">
        <v>154</v>
      </c>
      <c r="F10" s="118" t="s">
        <v>153</v>
      </c>
      <c r="G10" s="119">
        <v>41096</v>
      </c>
      <c r="H10" s="120">
        <v>10.9917808219178</v>
      </c>
      <c r="I10" s="133">
        <v>4.00821917808219</v>
      </c>
      <c r="J10" s="119">
        <v>43297</v>
      </c>
      <c r="K10" s="119">
        <v>45488</v>
      </c>
      <c r="L10" s="134">
        <f t="shared" si="2"/>
        <v>45382</v>
      </c>
      <c r="M10" s="135">
        <f t="shared" si="3"/>
        <v>0.29041095890411</v>
      </c>
      <c r="N10" s="136">
        <v>3.48493150684931</v>
      </c>
      <c r="O10" s="137">
        <v>4</v>
      </c>
      <c r="P10" s="138">
        <v>87237.6068376068</v>
      </c>
      <c r="Q10" s="148">
        <v>0.78223</v>
      </c>
      <c r="R10" s="138">
        <v>68239.8731965812</v>
      </c>
      <c r="S10" s="138">
        <v>87237.6068376068</v>
      </c>
      <c r="T10" s="148">
        <v>0.207192020581087</v>
      </c>
      <c r="U10" s="138">
        <v>18074.9360313422</v>
      </c>
      <c r="V10" s="149">
        <f>车辆评估!Z10</f>
        <v>87237.6068376068</v>
      </c>
      <c r="W10" s="148">
        <f>车辆评估!AA10</f>
        <v>0.217168949771689</v>
      </c>
      <c r="X10" s="149">
        <f t="shared" si="0"/>
        <v>18945.2994575186</v>
      </c>
      <c r="Y10" s="149">
        <f>线路牌评估!T13</f>
        <v>12064.6977777778</v>
      </c>
      <c r="Z10" s="149">
        <f>Y10/12</f>
        <v>1005.39148148148</v>
      </c>
      <c r="AA10" s="149">
        <f>Z10*O10</f>
        <v>4021.56592592592</v>
      </c>
      <c r="AB10" s="149">
        <f t="shared" si="1"/>
        <v>22966.8653834445</v>
      </c>
      <c r="AC10" s="118"/>
      <c r="AD10" s="150"/>
      <c r="AE10" s="150"/>
      <c r="AF10" s="150"/>
    </row>
    <row r="11" spans="1:32">
      <c r="A11" s="114">
        <v>6</v>
      </c>
      <c r="B11" s="118" t="s">
        <v>20</v>
      </c>
      <c r="C11" s="118" t="s">
        <v>23</v>
      </c>
      <c r="D11" s="118" t="s">
        <v>22</v>
      </c>
      <c r="E11" s="114" t="s">
        <v>154</v>
      </c>
      <c r="F11" s="118" t="s">
        <v>153</v>
      </c>
      <c r="G11" s="119">
        <v>41096</v>
      </c>
      <c r="H11" s="120">
        <v>10.9917808219178</v>
      </c>
      <c r="I11" s="133">
        <v>4.00821917808219</v>
      </c>
      <c r="J11" s="119">
        <v>43297</v>
      </c>
      <c r="K11" s="119">
        <v>45488</v>
      </c>
      <c r="L11" s="134">
        <f t="shared" si="2"/>
        <v>45382</v>
      </c>
      <c r="M11" s="135">
        <f t="shared" si="3"/>
        <v>0.29041095890411</v>
      </c>
      <c r="N11" s="138">
        <v>3.48493150684931</v>
      </c>
      <c r="O11" s="137">
        <v>4</v>
      </c>
      <c r="P11" s="138">
        <v>87237.6068376068</v>
      </c>
      <c r="Q11" s="148">
        <v>0.72173</v>
      </c>
      <c r="R11" s="138">
        <v>62961.997982906</v>
      </c>
      <c r="S11" s="138">
        <v>87237.6068376068</v>
      </c>
      <c r="T11" s="148">
        <v>0.207192020581087</v>
      </c>
      <c r="U11" s="138">
        <v>18074.9360313422</v>
      </c>
      <c r="V11" s="149">
        <f>车辆评估!Z11</f>
        <v>87237.6068376068</v>
      </c>
      <c r="W11" s="148">
        <f>车辆评估!AA11</f>
        <v>0.217168949771689</v>
      </c>
      <c r="X11" s="149">
        <f t="shared" si="0"/>
        <v>18945.2994575186</v>
      </c>
      <c r="Y11" s="149">
        <f>Y10</f>
        <v>12064.6977777778</v>
      </c>
      <c r="Z11" s="149">
        <f>Z10</f>
        <v>1005.39148148148</v>
      </c>
      <c r="AA11" s="149">
        <f t="shared" ref="AA7:AA39" si="4">Z11*O11</f>
        <v>4021.56592592592</v>
      </c>
      <c r="AB11" s="149">
        <f t="shared" si="1"/>
        <v>22966.8653834445</v>
      </c>
      <c r="AC11" s="118"/>
      <c r="AD11" s="150"/>
      <c r="AE11" s="150"/>
      <c r="AF11" s="150"/>
    </row>
    <row r="12" spans="1:32">
      <c r="A12" s="114">
        <v>7</v>
      </c>
      <c r="B12" s="118" t="s">
        <v>20</v>
      </c>
      <c r="C12" s="118" t="s">
        <v>24</v>
      </c>
      <c r="D12" s="118" t="s">
        <v>22</v>
      </c>
      <c r="E12" s="114" t="s">
        <v>154</v>
      </c>
      <c r="F12" s="118" t="s">
        <v>153</v>
      </c>
      <c r="G12" s="119">
        <v>41618</v>
      </c>
      <c r="H12" s="120">
        <v>9.56164383561644</v>
      </c>
      <c r="I12" s="133">
        <v>5.43835616438356</v>
      </c>
      <c r="J12" s="119">
        <v>43089</v>
      </c>
      <c r="K12" s="119">
        <v>45279</v>
      </c>
      <c r="L12" s="134">
        <f t="shared" si="2"/>
        <v>45382</v>
      </c>
      <c r="M12" s="135">
        <f t="shared" si="3"/>
        <v>-0.282191780821918</v>
      </c>
      <c r="N12" s="138"/>
      <c r="O12" s="137">
        <v>4</v>
      </c>
      <c r="P12" s="138">
        <v>82895.7264957265</v>
      </c>
      <c r="Q12" s="148">
        <v>0.758596</v>
      </c>
      <c r="R12" s="138">
        <v>62884.3665367521</v>
      </c>
      <c r="S12" s="138">
        <v>82895.7264957265</v>
      </c>
      <c r="T12" s="148">
        <v>0.254392539339744</v>
      </c>
      <c r="U12" s="138">
        <v>21088.0543636608</v>
      </c>
      <c r="V12" s="149">
        <f>车辆评估!Z12</f>
        <v>82895.7264957265</v>
      </c>
      <c r="W12" s="148">
        <f>车辆评估!AA12</f>
        <v>0.312511415525114</v>
      </c>
      <c r="X12" s="149">
        <f t="shared" si="0"/>
        <v>25905.8608281622</v>
      </c>
      <c r="Y12" s="149">
        <f>Y11</f>
        <v>12064.6977777778</v>
      </c>
      <c r="Z12" s="149">
        <f>Z11</f>
        <v>1005.39148148148</v>
      </c>
      <c r="AA12" s="149">
        <f t="shared" si="4"/>
        <v>4021.56592592592</v>
      </c>
      <c r="AB12" s="149">
        <f t="shared" si="1"/>
        <v>29927.4267540881</v>
      </c>
      <c r="AC12" s="118"/>
      <c r="AD12" s="150"/>
      <c r="AE12" s="150"/>
      <c r="AF12" s="150"/>
    </row>
    <row r="13" spans="1:32">
      <c r="A13" s="114">
        <v>8</v>
      </c>
      <c r="B13" s="118" t="s">
        <v>20</v>
      </c>
      <c r="C13" s="118" t="s">
        <v>25</v>
      </c>
      <c r="D13" s="118" t="s">
        <v>22</v>
      </c>
      <c r="E13" s="114" t="s">
        <v>154</v>
      </c>
      <c r="F13" s="118" t="s">
        <v>153</v>
      </c>
      <c r="G13" s="119">
        <v>41618</v>
      </c>
      <c r="H13" s="120">
        <v>9.56164383561644</v>
      </c>
      <c r="I13" s="133">
        <v>5.43835616438356</v>
      </c>
      <c r="J13" s="119">
        <v>43089</v>
      </c>
      <c r="K13" s="119">
        <v>45279</v>
      </c>
      <c r="L13" s="134">
        <f t="shared" si="2"/>
        <v>45382</v>
      </c>
      <c r="M13" s="135">
        <f t="shared" si="3"/>
        <v>-0.282191780821918</v>
      </c>
      <c r="N13" s="138"/>
      <c r="O13" s="137">
        <v>4</v>
      </c>
      <c r="P13" s="138">
        <v>82895.7264957265</v>
      </c>
      <c r="Q13" s="148">
        <v>0.80714</v>
      </c>
      <c r="R13" s="138">
        <v>66908.4566837607</v>
      </c>
      <c r="S13" s="138">
        <v>82895.7264957265</v>
      </c>
      <c r="T13" s="148">
        <v>0.254392539339744</v>
      </c>
      <c r="U13" s="138">
        <v>21088.0543636608</v>
      </c>
      <c r="V13" s="149">
        <f>车辆评估!Z13</f>
        <v>82895.7264957265</v>
      </c>
      <c r="W13" s="148">
        <f>车辆评估!AA13</f>
        <v>0.312511415525114</v>
      </c>
      <c r="X13" s="149">
        <f t="shared" si="0"/>
        <v>25905.8608281622</v>
      </c>
      <c r="Y13" s="149">
        <f>Y12</f>
        <v>12064.6977777778</v>
      </c>
      <c r="Z13" s="149">
        <f>Z12</f>
        <v>1005.39148148148</v>
      </c>
      <c r="AA13" s="149">
        <f t="shared" si="4"/>
        <v>4021.56592592592</v>
      </c>
      <c r="AB13" s="149">
        <f t="shared" si="1"/>
        <v>29927.4267540881</v>
      </c>
      <c r="AC13" s="118"/>
      <c r="AD13" s="150"/>
      <c r="AE13" s="150"/>
      <c r="AF13" s="150"/>
    </row>
    <row r="14" spans="1:32">
      <c r="A14" s="114">
        <v>9</v>
      </c>
      <c r="B14" s="118" t="s">
        <v>26</v>
      </c>
      <c r="C14" s="118" t="s">
        <v>27</v>
      </c>
      <c r="D14" s="118" t="s">
        <v>15</v>
      </c>
      <c r="E14" s="114" t="s">
        <v>150</v>
      </c>
      <c r="F14" s="118" t="s">
        <v>151</v>
      </c>
      <c r="G14" s="119">
        <v>41347</v>
      </c>
      <c r="H14" s="120">
        <v>10.3041095890411</v>
      </c>
      <c r="I14" s="133">
        <v>4.6958904109589</v>
      </c>
      <c r="J14" s="134">
        <v>44307</v>
      </c>
      <c r="K14" s="134">
        <v>45767</v>
      </c>
      <c r="L14" s="134">
        <f t="shared" si="2"/>
        <v>45382</v>
      </c>
      <c r="M14" s="135">
        <f t="shared" si="3"/>
        <v>1.05479452054795</v>
      </c>
      <c r="N14" s="138">
        <v>12.6575342465753</v>
      </c>
      <c r="O14" s="137">
        <v>13</v>
      </c>
      <c r="P14" s="138">
        <v>271767.521367521</v>
      </c>
      <c r="Q14" s="148">
        <v>0.0833333333333333</v>
      </c>
      <c r="R14" s="138">
        <v>22647.2934472934</v>
      </c>
      <c r="S14" s="138">
        <v>271767.521367521</v>
      </c>
      <c r="T14" s="148">
        <v>0.228442482698284</v>
      </c>
      <c r="U14" s="138">
        <v>62083.2472979556</v>
      </c>
      <c r="V14" s="149">
        <f>车辆评估!Z14</f>
        <v>271767.521367521</v>
      </c>
      <c r="W14" s="148">
        <f>车辆评估!AA14</f>
        <v>0.263013698630137</v>
      </c>
      <c r="X14" s="149">
        <f t="shared" si="0"/>
        <v>71478.5809624166</v>
      </c>
      <c r="Y14" s="149">
        <f>Y7</f>
        <v>14700.8966666667</v>
      </c>
      <c r="Z14" s="149">
        <f>Z7</f>
        <v>1225.07472222222</v>
      </c>
      <c r="AA14" s="149">
        <f t="shared" si="4"/>
        <v>15925.9713888889</v>
      </c>
      <c r="AB14" s="149">
        <f t="shared" si="1"/>
        <v>87404.5523513055</v>
      </c>
      <c r="AC14" s="118"/>
      <c r="AD14" s="150"/>
      <c r="AE14" s="150"/>
      <c r="AF14" s="150"/>
    </row>
    <row r="15" spans="1:32">
      <c r="A15" s="114">
        <v>10</v>
      </c>
      <c r="B15" s="118" t="s">
        <v>26</v>
      </c>
      <c r="C15" s="118" t="s">
        <v>28</v>
      </c>
      <c r="D15" s="118" t="s">
        <v>15</v>
      </c>
      <c r="E15" s="114" t="s">
        <v>150</v>
      </c>
      <c r="F15" s="118" t="s">
        <v>151</v>
      </c>
      <c r="G15" s="119">
        <v>41347</v>
      </c>
      <c r="H15" s="120">
        <v>10.3041095890411</v>
      </c>
      <c r="I15" s="133">
        <v>4.6958904109589</v>
      </c>
      <c r="J15" s="134">
        <v>44307</v>
      </c>
      <c r="K15" s="134">
        <v>45767</v>
      </c>
      <c r="L15" s="134">
        <f t="shared" si="2"/>
        <v>45382</v>
      </c>
      <c r="M15" s="135">
        <f t="shared" si="3"/>
        <v>1.05479452054795</v>
      </c>
      <c r="N15" s="138">
        <v>12.6575342465753</v>
      </c>
      <c r="O15" s="137">
        <v>13</v>
      </c>
      <c r="P15" s="138">
        <v>271767.521367521</v>
      </c>
      <c r="Q15" s="148">
        <v>0.0506666666666667</v>
      </c>
      <c r="R15" s="138">
        <v>13769.5544159544</v>
      </c>
      <c r="S15" s="138">
        <v>271767.521367521</v>
      </c>
      <c r="T15" s="148">
        <v>0.228442482698284</v>
      </c>
      <c r="U15" s="138">
        <v>62083.2472979556</v>
      </c>
      <c r="V15" s="149">
        <f>车辆评估!Z15</f>
        <v>271767.521367521</v>
      </c>
      <c r="W15" s="148">
        <f>车辆评估!AA15</f>
        <v>0.263013698630137</v>
      </c>
      <c r="X15" s="149">
        <f t="shared" si="0"/>
        <v>71478.5809624166</v>
      </c>
      <c r="Y15" s="149">
        <f>Y14</f>
        <v>14700.8966666667</v>
      </c>
      <c r="Z15" s="149">
        <f>Z14</f>
        <v>1225.07472222222</v>
      </c>
      <c r="AA15" s="149">
        <f t="shared" si="4"/>
        <v>15925.9713888889</v>
      </c>
      <c r="AB15" s="149">
        <f t="shared" si="1"/>
        <v>87404.5523513055</v>
      </c>
      <c r="AC15" s="118"/>
      <c r="AD15" s="150"/>
      <c r="AE15" s="150"/>
      <c r="AF15" s="150"/>
    </row>
    <row r="16" spans="1:32">
      <c r="A16" s="114">
        <v>11</v>
      </c>
      <c r="B16" s="118" t="s">
        <v>26</v>
      </c>
      <c r="C16" s="118" t="s">
        <v>29</v>
      </c>
      <c r="D16" s="118" t="s">
        <v>15</v>
      </c>
      <c r="E16" s="114" t="s">
        <v>150</v>
      </c>
      <c r="F16" s="118" t="s">
        <v>151</v>
      </c>
      <c r="G16" s="119">
        <v>41347</v>
      </c>
      <c r="H16" s="120">
        <v>10.3041095890411</v>
      </c>
      <c r="I16" s="133">
        <v>4.6958904109589</v>
      </c>
      <c r="J16" s="134">
        <v>44307</v>
      </c>
      <c r="K16" s="134">
        <v>45767</v>
      </c>
      <c r="L16" s="134">
        <f t="shared" si="2"/>
        <v>45382</v>
      </c>
      <c r="M16" s="135">
        <f t="shared" si="3"/>
        <v>1.05479452054795</v>
      </c>
      <c r="N16" s="138">
        <v>12.6575342465753</v>
      </c>
      <c r="O16" s="137">
        <v>13</v>
      </c>
      <c r="P16" s="138">
        <v>271767.521367521</v>
      </c>
      <c r="Q16" s="148">
        <v>0.07964</v>
      </c>
      <c r="R16" s="138">
        <v>21643.5654017094</v>
      </c>
      <c r="S16" s="138">
        <v>271767.521367521</v>
      </c>
      <c r="T16" s="148">
        <v>0.228442482698284</v>
      </c>
      <c r="U16" s="138">
        <v>62083.2472979556</v>
      </c>
      <c r="V16" s="149">
        <f>车辆评估!Z16</f>
        <v>271767.521367521</v>
      </c>
      <c r="W16" s="148">
        <f>车辆评估!AA16</f>
        <v>0.263013698630137</v>
      </c>
      <c r="X16" s="149">
        <f t="shared" si="0"/>
        <v>71478.5809624166</v>
      </c>
      <c r="Y16" s="149">
        <f>Y15</f>
        <v>14700.8966666667</v>
      </c>
      <c r="Z16" s="149">
        <f>Z15</f>
        <v>1225.07472222222</v>
      </c>
      <c r="AA16" s="149">
        <f t="shared" si="4"/>
        <v>15925.9713888889</v>
      </c>
      <c r="AB16" s="149">
        <f t="shared" si="1"/>
        <v>87404.5523513055</v>
      </c>
      <c r="AC16" s="118"/>
      <c r="AD16" s="150"/>
      <c r="AE16" s="150"/>
      <c r="AF16" s="150"/>
    </row>
    <row r="17" spans="1:32">
      <c r="A17" s="114">
        <v>12</v>
      </c>
      <c r="B17" s="118" t="s">
        <v>26</v>
      </c>
      <c r="C17" s="118" t="s">
        <v>30</v>
      </c>
      <c r="D17" s="118" t="s">
        <v>15</v>
      </c>
      <c r="E17" s="114" t="s">
        <v>150</v>
      </c>
      <c r="F17" s="118" t="s">
        <v>151</v>
      </c>
      <c r="G17" s="119">
        <v>41347</v>
      </c>
      <c r="H17" s="120">
        <v>10.3041095890411</v>
      </c>
      <c r="I17" s="133">
        <v>4.6958904109589</v>
      </c>
      <c r="J17" s="134">
        <v>44307</v>
      </c>
      <c r="K17" s="134">
        <v>45767</v>
      </c>
      <c r="L17" s="134">
        <f t="shared" si="2"/>
        <v>45382</v>
      </c>
      <c r="M17" s="135">
        <f t="shared" si="3"/>
        <v>1.05479452054795</v>
      </c>
      <c r="N17" s="138">
        <v>12.6575342465753</v>
      </c>
      <c r="O17" s="137">
        <v>13</v>
      </c>
      <c r="P17" s="138">
        <v>271767.521367521</v>
      </c>
      <c r="Q17" s="148">
        <v>0.166666666666667</v>
      </c>
      <c r="R17" s="138">
        <v>45294.5868945869</v>
      </c>
      <c r="S17" s="138">
        <v>271767.521367521</v>
      </c>
      <c r="T17" s="148">
        <v>0.228442482698284</v>
      </c>
      <c r="U17" s="138">
        <v>62083.2472979556</v>
      </c>
      <c r="V17" s="149">
        <f>车辆评估!Z17</f>
        <v>271767.521367521</v>
      </c>
      <c r="W17" s="148">
        <f>车辆评估!AA17</f>
        <v>0.263013698630137</v>
      </c>
      <c r="X17" s="149">
        <f t="shared" si="0"/>
        <v>71478.5809624166</v>
      </c>
      <c r="Y17" s="149">
        <f>Y16</f>
        <v>14700.8966666667</v>
      </c>
      <c r="Z17" s="149">
        <f>Z16</f>
        <v>1225.07472222222</v>
      </c>
      <c r="AA17" s="149">
        <f t="shared" si="4"/>
        <v>15925.9713888889</v>
      </c>
      <c r="AB17" s="149">
        <f t="shared" si="1"/>
        <v>87404.5523513055</v>
      </c>
      <c r="AC17" s="118"/>
      <c r="AD17" s="150"/>
      <c r="AE17" s="150"/>
      <c r="AF17" s="150"/>
    </row>
    <row r="18" spans="1:32">
      <c r="A18" s="114">
        <v>13</v>
      </c>
      <c r="B18" s="118" t="s">
        <v>26</v>
      </c>
      <c r="C18" s="118" t="s">
        <v>155</v>
      </c>
      <c r="D18" s="118" t="s">
        <v>15</v>
      </c>
      <c r="E18" s="114" t="s">
        <v>150</v>
      </c>
      <c r="F18" s="118" t="s">
        <v>151</v>
      </c>
      <c r="G18" s="119">
        <v>44300</v>
      </c>
      <c r="H18" s="120">
        <v>2.21369863013699</v>
      </c>
      <c r="I18" s="133">
        <v>12.786301369863</v>
      </c>
      <c r="J18" s="134">
        <v>44307</v>
      </c>
      <c r="K18" s="134">
        <v>45767</v>
      </c>
      <c r="L18" s="134">
        <f t="shared" si="2"/>
        <v>45382</v>
      </c>
      <c r="M18" s="135">
        <f t="shared" si="3"/>
        <v>1.05479452054795</v>
      </c>
      <c r="N18" s="138">
        <v>12.6575342465753</v>
      </c>
      <c r="O18" s="137">
        <v>13</v>
      </c>
      <c r="P18" s="138">
        <v>221835.897435897</v>
      </c>
      <c r="Q18" s="148">
        <v>0.801016666666667</v>
      </c>
      <c r="R18" s="138">
        <v>177694.251111111</v>
      </c>
      <c r="S18" s="138">
        <v>221835.897435897</v>
      </c>
      <c r="T18" s="148">
        <v>0.726074078943651</v>
      </c>
      <c r="U18" s="138">
        <v>161069.294907407</v>
      </c>
      <c r="V18" s="149">
        <f>车辆评估!Z18</f>
        <v>221835.897435897</v>
      </c>
      <c r="W18" s="148">
        <f>车辆评估!AA18</f>
        <v>0.802374429223744</v>
      </c>
      <c r="X18" s="149">
        <f t="shared" si="0"/>
        <v>177995.451586465</v>
      </c>
      <c r="Y18" s="149">
        <f>Y17</f>
        <v>14700.8966666667</v>
      </c>
      <c r="Z18" s="149">
        <f>Z17</f>
        <v>1225.07472222222</v>
      </c>
      <c r="AA18" s="149">
        <f t="shared" si="4"/>
        <v>15925.9713888889</v>
      </c>
      <c r="AB18" s="149">
        <f t="shared" si="1"/>
        <v>193921.422975354</v>
      </c>
      <c r="AC18" s="118"/>
      <c r="AD18" s="150"/>
      <c r="AE18" s="150"/>
      <c r="AF18" s="150"/>
    </row>
    <row r="19" spans="1:32">
      <c r="A19" s="114">
        <v>14</v>
      </c>
      <c r="B19" s="118" t="s">
        <v>32</v>
      </c>
      <c r="C19" s="118" t="s">
        <v>33</v>
      </c>
      <c r="D19" s="118" t="s">
        <v>34</v>
      </c>
      <c r="E19" s="114" t="s">
        <v>154</v>
      </c>
      <c r="F19" s="118" t="s">
        <v>153</v>
      </c>
      <c r="G19" s="119">
        <v>41397</v>
      </c>
      <c r="H19" s="120">
        <v>10.1671232876712</v>
      </c>
      <c r="I19" s="133">
        <v>4.83287671232877</v>
      </c>
      <c r="J19" s="119">
        <v>42887</v>
      </c>
      <c r="K19" s="139">
        <v>45077</v>
      </c>
      <c r="L19" s="140">
        <f t="shared" si="2"/>
        <v>45382</v>
      </c>
      <c r="M19" s="135">
        <f t="shared" si="3"/>
        <v>-0.835616438356164</v>
      </c>
      <c r="N19" s="138"/>
      <c r="O19" s="137">
        <v>10</v>
      </c>
      <c r="P19" s="138">
        <v>98092.3076923077</v>
      </c>
      <c r="Q19" s="148">
        <v>0.8623452</v>
      </c>
      <c r="R19" s="138">
        <v>84589.4306953846</v>
      </c>
      <c r="S19" s="138">
        <v>98092.3076923077</v>
      </c>
      <c r="T19" s="148">
        <v>0.233848677865012</v>
      </c>
      <c r="U19" s="138">
        <v>22938.7564625741</v>
      </c>
      <c r="V19" s="149">
        <f>车辆评估!Z19</f>
        <v>98092.3076923077</v>
      </c>
      <c r="W19" s="148">
        <f>车辆评估!AA19</f>
        <v>0.272146118721461</v>
      </c>
      <c r="X19" s="149">
        <f t="shared" si="0"/>
        <v>26695.4408148929</v>
      </c>
      <c r="Y19" s="149">
        <f>线路牌评估!T11</f>
        <v>7356.07999999999</v>
      </c>
      <c r="Z19" s="149">
        <f>Y19/12</f>
        <v>613.006666666666</v>
      </c>
      <c r="AA19" s="149">
        <f t="shared" si="4"/>
        <v>6130.06666666666</v>
      </c>
      <c r="AB19" s="149">
        <f t="shared" si="1"/>
        <v>32825.5074815596</v>
      </c>
      <c r="AC19" s="118"/>
      <c r="AD19" s="150"/>
      <c r="AE19" s="150"/>
      <c r="AF19" s="150"/>
    </row>
    <row r="20" spans="1:32">
      <c r="A20" s="114">
        <v>15</v>
      </c>
      <c r="B20" s="118" t="s">
        <v>35</v>
      </c>
      <c r="C20" s="118" t="s">
        <v>36</v>
      </c>
      <c r="D20" s="118" t="s">
        <v>34</v>
      </c>
      <c r="E20" s="114" t="s">
        <v>156</v>
      </c>
      <c r="F20" s="118" t="s">
        <v>153</v>
      </c>
      <c r="G20" s="119">
        <v>42130</v>
      </c>
      <c r="H20" s="120">
        <v>8.15890410958904</v>
      </c>
      <c r="I20" s="133">
        <v>6.84109589041096</v>
      </c>
      <c r="J20" s="119">
        <v>43557</v>
      </c>
      <c r="K20" s="139">
        <v>45748</v>
      </c>
      <c r="L20" s="140">
        <f t="shared" si="2"/>
        <v>45382</v>
      </c>
      <c r="M20" s="135">
        <f t="shared" si="3"/>
        <v>1.0027397260274</v>
      </c>
      <c r="N20" s="138">
        <v>12.0328767123288</v>
      </c>
      <c r="O20" s="137">
        <v>13</v>
      </c>
      <c r="P20" s="138">
        <v>98092.3076923077</v>
      </c>
      <c r="Q20" s="148">
        <v>0</v>
      </c>
      <c r="R20" s="138">
        <v>0</v>
      </c>
      <c r="S20" s="138">
        <v>98092.3076923077</v>
      </c>
      <c r="T20" s="148">
        <v>0.311212406092911</v>
      </c>
      <c r="U20" s="138">
        <v>30527.5430961292</v>
      </c>
      <c r="V20" s="149">
        <f>车辆评估!Z20</f>
        <v>98092.3076923077</v>
      </c>
      <c r="W20" s="148">
        <f>车辆评估!AA20</f>
        <v>0.406027397260274</v>
      </c>
      <c r="X20" s="149">
        <f t="shared" si="0"/>
        <v>39828.1643835616</v>
      </c>
      <c r="Y20" s="149">
        <f>Y19</f>
        <v>7356.07999999999</v>
      </c>
      <c r="Z20" s="149">
        <f>Z19</f>
        <v>613.006666666666</v>
      </c>
      <c r="AA20" s="149">
        <f t="shared" si="4"/>
        <v>7969.08666666666</v>
      </c>
      <c r="AB20" s="149">
        <f t="shared" si="1"/>
        <v>47797.2510502283</v>
      </c>
      <c r="AC20" s="118"/>
      <c r="AD20" s="150"/>
      <c r="AE20" s="150"/>
      <c r="AF20" s="150"/>
    </row>
    <row r="21" spans="1:32">
      <c r="A21" s="114">
        <v>16</v>
      </c>
      <c r="B21" s="118" t="s">
        <v>37</v>
      </c>
      <c r="C21" s="118" t="s">
        <v>38</v>
      </c>
      <c r="D21" s="118" t="s">
        <v>34</v>
      </c>
      <c r="E21" s="114" t="s">
        <v>157</v>
      </c>
      <c r="F21" s="118" t="s">
        <v>153</v>
      </c>
      <c r="G21" s="119">
        <v>41652</v>
      </c>
      <c r="H21" s="120">
        <v>9.46849315068493</v>
      </c>
      <c r="I21" s="133">
        <v>5.53150684931507</v>
      </c>
      <c r="J21" s="119">
        <v>44562</v>
      </c>
      <c r="K21" s="119">
        <v>46012</v>
      </c>
      <c r="L21" s="134">
        <f t="shared" si="2"/>
        <v>45382</v>
      </c>
      <c r="M21" s="135">
        <f t="shared" si="3"/>
        <v>1.72602739726027</v>
      </c>
      <c r="N21" s="138">
        <v>20.7123287671233</v>
      </c>
      <c r="O21" s="137">
        <v>21</v>
      </c>
      <c r="P21" s="138">
        <v>190357.264957265</v>
      </c>
      <c r="Q21" s="148">
        <v>0</v>
      </c>
      <c r="R21" s="138">
        <v>0</v>
      </c>
      <c r="S21" s="138">
        <v>190357.264957265</v>
      </c>
      <c r="T21" s="148">
        <v>0.257457549082557</v>
      </c>
      <c r="U21" s="138">
        <v>49008.9148859564</v>
      </c>
      <c r="V21" s="149">
        <f>车辆评估!Z21</f>
        <v>190357.264957265</v>
      </c>
      <c r="W21" s="148">
        <f>车辆评估!AA21</f>
        <v>0.318721461187215</v>
      </c>
      <c r="X21" s="149">
        <f t="shared" si="0"/>
        <v>60670.9456347813</v>
      </c>
      <c r="Y21" s="149">
        <f>Y20</f>
        <v>7356.07999999999</v>
      </c>
      <c r="Z21" s="149">
        <f>Z20</f>
        <v>613.006666666666</v>
      </c>
      <c r="AA21" s="149">
        <f t="shared" si="4"/>
        <v>12873.14</v>
      </c>
      <c r="AB21" s="149">
        <f t="shared" si="1"/>
        <v>73544.0856347813</v>
      </c>
      <c r="AC21" s="118"/>
      <c r="AD21" s="150"/>
      <c r="AE21" s="150"/>
      <c r="AF21" s="150"/>
    </row>
    <row r="22" spans="1:32">
      <c r="A22" s="114">
        <v>17</v>
      </c>
      <c r="B22" s="118" t="s">
        <v>39</v>
      </c>
      <c r="C22" s="118" t="s">
        <v>40</v>
      </c>
      <c r="D22" s="118" t="s">
        <v>34</v>
      </c>
      <c r="E22" s="114" t="s">
        <v>154</v>
      </c>
      <c r="F22" s="118" t="s">
        <v>153</v>
      </c>
      <c r="G22" s="119">
        <v>41397</v>
      </c>
      <c r="H22" s="120">
        <v>10.1671232876712</v>
      </c>
      <c r="I22" s="133">
        <v>4.83287671232877</v>
      </c>
      <c r="J22" s="119">
        <v>44562</v>
      </c>
      <c r="K22" s="119">
        <v>46022</v>
      </c>
      <c r="L22" s="134">
        <f t="shared" si="2"/>
        <v>45382</v>
      </c>
      <c r="M22" s="135">
        <f t="shared" si="3"/>
        <v>1.75342465753425</v>
      </c>
      <c r="N22" s="138">
        <v>21.041095890411</v>
      </c>
      <c r="O22" s="137">
        <v>21</v>
      </c>
      <c r="P22" s="138">
        <v>98092.3076923077</v>
      </c>
      <c r="Q22" s="148">
        <v>0.011324</v>
      </c>
      <c r="R22" s="138">
        <v>1110.79729230769</v>
      </c>
      <c r="S22" s="138">
        <v>98092.3076923077</v>
      </c>
      <c r="T22" s="148">
        <v>0.231098793533143</v>
      </c>
      <c r="U22" s="138">
        <v>22669.0139625741</v>
      </c>
      <c r="V22" s="149">
        <f>车辆评估!Z22</f>
        <v>98092.3076923077</v>
      </c>
      <c r="W22" s="148">
        <f>车辆评估!AA22</f>
        <v>0.272146118721461</v>
      </c>
      <c r="X22" s="149">
        <f t="shared" si="0"/>
        <v>26695.4408148929</v>
      </c>
      <c r="Y22" s="149">
        <f>Y21</f>
        <v>7356.07999999999</v>
      </c>
      <c r="Z22" s="149">
        <f>Z21</f>
        <v>613.006666666666</v>
      </c>
      <c r="AA22" s="149">
        <f t="shared" si="4"/>
        <v>12873.14</v>
      </c>
      <c r="AB22" s="149">
        <f t="shared" si="1"/>
        <v>39568.5808148929</v>
      </c>
      <c r="AC22" s="118"/>
      <c r="AD22" s="150"/>
      <c r="AE22" s="150"/>
      <c r="AF22" s="150"/>
    </row>
    <row r="23" spans="1:32">
      <c r="A23" s="114">
        <v>18</v>
      </c>
      <c r="B23" s="118" t="s">
        <v>41</v>
      </c>
      <c r="C23" s="118" t="s">
        <v>42</v>
      </c>
      <c r="D23" s="118" t="s">
        <v>43</v>
      </c>
      <c r="E23" s="114" t="s">
        <v>154</v>
      </c>
      <c r="F23" s="118" t="s">
        <v>153</v>
      </c>
      <c r="G23" s="119">
        <v>41121</v>
      </c>
      <c r="H23" s="120">
        <v>10.9232876712329</v>
      </c>
      <c r="I23" s="133">
        <v>4.07671232876712</v>
      </c>
      <c r="J23" s="134">
        <v>43346</v>
      </c>
      <c r="K23" s="134">
        <v>45537</v>
      </c>
      <c r="L23" s="134">
        <f t="shared" si="2"/>
        <v>45382</v>
      </c>
      <c r="M23" s="135">
        <f t="shared" si="3"/>
        <v>0.424657534246575</v>
      </c>
      <c r="N23" s="138">
        <v>5.0958904109589</v>
      </c>
      <c r="O23" s="137">
        <v>6</v>
      </c>
      <c r="P23" s="138">
        <v>87237.6068376068</v>
      </c>
      <c r="Q23" s="148">
        <v>0.2277376</v>
      </c>
      <c r="R23" s="138">
        <v>19867.2832109402</v>
      </c>
      <c r="S23" s="138">
        <v>87237.6068376068</v>
      </c>
      <c r="T23" s="148">
        <v>0.207192020581087</v>
      </c>
      <c r="U23" s="138">
        <v>18074.9360313422</v>
      </c>
      <c r="V23" s="149">
        <f>车辆评估!Z23</f>
        <v>87237.6068376068</v>
      </c>
      <c r="W23" s="148">
        <f>车辆评估!AA23</f>
        <v>0.221735159817352</v>
      </c>
      <c r="X23" s="149">
        <f t="shared" si="0"/>
        <v>19343.64469422</v>
      </c>
      <c r="Y23" s="149">
        <f>线路牌评估!T14</f>
        <v>12441.80136</v>
      </c>
      <c r="Z23" s="149">
        <f>Y23/12</f>
        <v>1036.81678</v>
      </c>
      <c r="AA23" s="149">
        <f t="shared" si="4"/>
        <v>6220.90068</v>
      </c>
      <c r="AB23" s="149">
        <f t="shared" si="1"/>
        <v>25564.54537422</v>
      </c>
      <c r="AC23" s="118"/>
      <c r="AD23" s="150"/>
      <c r="AE23" s="150"/>
      <c r="AF23" s="150"/>
    </row>
    <row r="24" spans="1:32">
      <c r="A24" s="114">
        <v>19</v>
      </c>
      <c r="B24" s="118" t="s">
        <v>41</v>
      </c>
      <c r="C24" s="118" t="s">
        <v>44</v>
      </c>
      <c r="D24" s="118" t="s">
        <v>43</v>
      </c>
      <c r="E24" s="114" t="s">
        <v>154</v>
      </c>
      <c r="F24" s="118" t="s">
        <v>153</v>
      </c>
      <c r="G24" s="119">
        <v>41061</v>
      </c>
      <c r="H24" s="120">
        <v>11.0876712328767</v>
      </c>
      <c r="I24" s="133">
        <v>3.91232876712329</v>
      </c>
      <c r="J24" s="119">
        <v>43346</v>
      </c>
      <c r="K24" s="119">
        <v>45537</v>
      </c>
      <c r="L24" s="134">
        <f t="shared" si="2"/>
        <v>45382</v>
      </c>
      <c r="M24" s="135">
        <f t="shared" si="3"/>
        <v>0.424657534246575</v>
      </c>
      <c r="N24" s="138">
        <v>5.0958904109589</v>
      </c>
      <c r="O24" s="137">
        <v>6</v>
      </c>
      <c r="P24" s="138">
        <v>87237.6068376068</v>
      </c>
      <c r="Q24" s="148">
        <v>0.712136</v>
      </c>
      <c r="R24" s="138">
        <v>62125.040382906</v>
      </c>
      <c r="S24" s="138">
        <v>87237.6068376068</v>
      </c>
      <c r="T24" s="148">
        <v>0.2025877562671</v>
      </c>
      <c r="U24" s="138">
        <v>17673.2710313422</v>
      </c>
      <c r="V24" s="149">
        <f>车辆评估!Z24</f>
        <v>87237.6068376068</v>
      </c>
      <c r="W24" s="148">
        <f>车辆评估!AA24</f>
        <v>0.210776255707763</v>
      </c>
      <c r="X24" s="149">
        <f t="shared" si="0"/>
        <v>18387.6161261367</v>
      </c>
      <c r="Y24" s="149">
        <f>Y23</f>
        <v>12441.80136</v>
      </c>
      <c r="Z24" s="149">
        <f>Z23</f>
        <v>1036.81678</v>
      </c>
      <c r="AA24" s="149">
        <f t="shared" si="4"/>
        <v>6220.90068</v>
      </c>
      <c r="AB24" s="149">
        <f t="shared" si="1"/>
        <v>24608.5168061367</v>
      </c>
      <c r="AC24" s="118"/>
      <c r="AD24" s="150"/>
      <c r="AE24" s="150"/>
      <c r="AF24" s="150"/>
    </row>
    <row r="25" spans="1:32">
      <c r="A25" s="114">
        <v>20</v>
      </c>
      <c r="B25" s="118" t="s">
        <v>41</v>
      </c>
      <c r="C25" s="118" t="s">
        <v>45</v>
      </c>
      <c r="D25" s="118" t="s">
        <v>43</v>
      </c>
      <c r="E25" s="114" t="s">
        <v>158</v>
      </c>
      <c r="F25" s="118" t="s">
        <v>151</v>
      </c>
      <c r="G25" s="119">
        <v>43068</v>
      </c>
      <c r="H25" s="120">
        <v>5.58904109589041</v>
      </c>
      <c r="I25" s="133">
        <v>9.41095890410959</v>
      </c>
      <c r="J25" s="119">
        <v>45058</v>
      </c>
      <c r="K25" s="119">
        <v>46377</v>
      </c>
      <c r="L25" s="134">
        <f t="shared" si="2"/>
        <v>45382</v>
      </c>
      <c r="M25" s="135">
        <f t="shared" si="3"/>
        <v>2.72602739726027</v>
      </c>
      <c r="N25" s="138">
        <v>32.7123287671233</v>
      </c>
      <c r="O25" s="137">
        <v>33</v>
      </c>
      <c r="P25" s="138">
        <v>258741.88034188</v>
      </c>
      <c r="Q25" s="148">
        <v>0.73302</v>
      </c>
      <c r="R25" s="138">
        <v>189662.973128205</v>
      </c>
      <c r="S25" s="138">
        <v>258741.88034188</v>
      </c>
      <c r="T25" s="148">
        <v>0.44548369323049</v>
      </c>
      <c r="U25" s="138">
        <v>115265.288448102</v>
      </c>
      <c r="V25" s="149">
        <f>车辆评估!Z25</f>
        <v>258741.88034188</v>
      </c>
      <c r="W25" s="148">
        <f>车辆评估!AA25</f>
        <v>0.577351598173516</v>
      </c>
      <c r="X25" s="149">
        <f t="shared" si="0"/>
        <v>149385.038129805</v>
      </c>
      <c r="Y25" s="149">
        <f>Y24</f>
        <v>12441.80136</v>
      </c>
      <c r="Z25" s="149">
        <f>Z24</f>
        <v>1036.81678</v>
      </c>
      <c r="AA25" s="149">
        <f t="shared" si="4"/>
        <v>34214.95374</v>
      </c>
      <c r="AB25" s="149">
        <f t="shared" si="1"/>
        <v>183599.991869805</v>
      </c>
      <c r="AC25" s="118"/>
      <c r="AD25" s="150"/>
      <c r="AE25" s="150"/>
      <c r="AF25" s="150"/>
    </row>
    <row r="26" spans="1:32">
      <c r="A26" s="114">
        <v>21</v>
      </c>
      <c r="B26" s="118" t="s">
        <v>41</v>
      </c>
      <c r="C26" s="118" t="s">
        <v>46</v>
      </c>
      <c r="D26" s="118" t="s">
        <v>47</v>
      </c>
      <c r="E26" s="114" t="s">
        <v>157</v>
      </c>
      <c r="F26" s="118" t="s">
        <v>153</v>
      </c>
      <c r="G26" s="119">
        <v>41794</v>
      </c>
      <c r="H26" s="120">
        <v>9.07945205479452</v>
      </c>
      <c r="I26" s="133">
        <v>5.92054794520548</v>
      </c>
      <c r="J26" s="134">
        <v>44012</v>
      </c>
      <c r="K26" s="134">
        <v>45472</v>
      </c>
      <c r="L26" s="134">
        <f t="shared" si="2"/>
        <v>45382</v>
      </c>
      <c r="M26" s="135">
        <f t="shared" si="3"/>
        <v>0.246575342465753</v>
      </c>
      <c r="N26" s="138">
        <v>2.95890410958904</v>
      </c>
      <c r="O26" s="137">
        <v>3</v>
      </c>
      <c r="P26" s="138">
        <v>190357.264957265</v>
      </c>
      <c r="Q26" s="148">
        <v>0.022856</v>
      </c>
      <c r="R26" s="138">
        <v>4350.80564786325</v>
      </c>
      <c r="S26" s="138">
        <v>190357.264957265</v>
      </c>
      <c r="T26" s="148">
        <v>0.266652456880759</v>
      </c>
      <c r="U26" s="138">
        <v>50759.2323859564</v>
      </c>
      <c r="V26" s="149">
        <f>车辆评估!Z26</f>
        <v>190357.264957265</v>
      </c>
      <c r="W26" s="148">
        <f>车辆评估!AA26</f>
        <v>0.344657534246575</v>
      </c>
      <c r="X26" s="149">
        <f t="shared" si="0"/>
        <v>65608.065566093</v>
      </c>
      <c r="Y26" s="149">
        <f>线路牌评估!T15</f>
        <v>13287.6735</v>
      </c>
      <c r="Z26" s="149">
        <f>Y26/12</f>
        <v>1107.306125</v>
      </c>
      <c r="AA26" s="149">
        <f t="shared" si="4"/>
        <v>3321.918375</v>
      </c>
      <c r="AB26" s="149">
        <f t="shared" si="1"/>
        <v>68929.983941093</v>
      </c>
      <c r="AC26" s="118"/>
      <c r="AD26" s="150"/>
      <c r="AE26" s="150"/>
      <c r="AF26" s="150"/>
    </row>
    <row r="27" spans="1:32">
      <c r="A27" s="114">
        <v>22</v>
      </c>
      <c r="B27" s="118" t="s">
        <v>41</v>
      </c>
      <c r="C27" s="118" t="s">
        <v>48</v>
      </c>
      <c r="D27" s="118" t="s">
        <v>47</v>
      </c>
      <c r="E27" s="114" t="s">
        <v>157</v>
      </c>
      <c r="F27" s="118" t="s">
        <v>151</v>
      </c>
      <c r="G27" s="119">
        <v>42727</v>
      </c>
      <c r="H27" s="120">
        <v>6.52328767123288</v>
      </c>
      <c r="I27" s="133">
        <v>8.47671232876712</v>
      </c>
      <c r="J27" s="119">
        <v>45058</v>
      </c>
      <c r="K27" s="119">
        <v>45788</v>
      </c>
      <c r="L27" s="134">
        <f t="shared" si="2"/>
        <v>45382</v>
      </c>
      <c r="M27" s="135">
        <f t="shared" si="3"/>
        <v>1.11232876712329</v>
      </c>
      <c r="N27" s="138">
        <v>13.3479452054795</v>
      </c>
      <c r="O27" s="137">
        <v>14</v>
      </c>
      <c r="P27" s="138">
        <v>217494.017094017</v>
      </c>
      <c r="Q27" s="148">
        <v>0.320571666666667</v>
      </c>
      <c r="R27" s="138">
        <v>69722.4195498575</v>
      </c>
      <c r="S27" s="138">
        <v>217494.017094017</v>
      </c>
      <c r="T27" s="148">
        <v>0.390794236523335</v>
      </c>
      <c r="U27" s="138">
        <v>84995.4083586496</v>
      </c>
      <c r="V27" s="149">
        <f>车辆评估!Z27</f>
        <v>217494.017094017</v>
      </c>
      <c r="W27" s="148">
        <f>车辆评估!AA27</f>
        <v>0.515068493150685</v>
      </c>
      <c r="X27" s="149">
        <f t="shared" si="0"/>
        <v>112024.315653905</v>
      </c>
      <c r="Y27" s="149">
        <f>Y26</f>
        <v>13287.6735</v>
      </c>
      <c r="Z27" s="149">
        <f>Z26</f>
        <v>1107.306125</v>
      </c>
      <c r="AA27" s="149">
        <f t="shared" si="4"/>
        <v>15502.28575</v>
      </c>
      <c r="AB27" s="149">
        <f t="shared" si="1"/>
        <v>127526.601403905</v>
      </c>
      <c r="AC27" s="118"/>
      <c r="AD27" s="150"/>
      <c r="AE27" s="150"/>
      <c r="AF27" s="150"/>
    </row>
    <row r="28" spans="1:32">
      <c r="A28" s="114">
        <v>23</v>
      </c>
      <c r="B28" s="118" t="s">
        <v>49</v>
      </c>
      <c r="C28" s="118" t="s">
        <v>50</v>
      </c>
      <c r="D28" s="118" t="s">
        <v>51</v>
      </c>
      <c r="E28" s="114" t="s">
        <v>154</v>
      </c>
      <c r="F28" s="118" t="s">
        <v>153</v>
      </c>
      <c r="G28" s="119">
        <v>41122</v>
      </c>
      <c r="H28" s="120">
        <v>10.9205479452055</v>
      </c>
      <c r="I28" s="133">
        <v>4.07945205479452</v>
      </c>
      <c r="J28" s="134">
        <v>44980</v>
      </c>
      <c r="K28" s="134">
        <v>46440</v>
      </c>
      <c r="L28" s="134">
        <f t="shared" si="2"/>
        <v>45382</v>
      </c>
      <c r="M28" s="135">
        <f t="shared" si="3"/>
        <v>2.8986301369863</v>
      </c>
      <c r="N28" s="138">
        <v>34.7835616438356</v>
      </c>
      <c r="O28" s="137">
        <v>35</v>
      </c>
      <c r="P28" s="138">
        <v>98092.3076923077</v>
      </c>
      <c r="Q28" s="148">
        <v>0.650312</v>
      </c>
      <c r="R28" s="138">
        <v>63790.6048</v>
      </c>
      <c r="S28" s="138">
        <v>98092.3076923077</v>
      </c>
      <c r="T28" s="148">
        <v>0.207192020581087</v>
      </c>
      <c r="U28" s="138">
        <v>20323.9434342309</v>
      </c>
      <c r="V28" s="149">
        <f>车辆评估!Z28</f>
        <v>98092.3076923077</v>
      </c>
      <c r="W28" s="148">
        <f>车辆评估!AA28</f>
        <v>0.221917808219178</v>
      </c>
      <c r="X28" s="149">
        <f t="shared" si="0"/>
        <v>21768.4299262381</v>
      </c>
      <c r="Y28" s="149">
        <f>线路牌评估!T7</f>
        <v>7698.7641025641</v>
      </c>
      <c r="Z28" s="149">
        <f>Y28/12</f>
        <v>641.563675213675</v>
      </c>
      <c r="AA28" s="149">
        <f t="shared" si="4"/>
        <v>22454.7286324786</v>
      </c>
      <c r="AB28" s="149">
        <f t="shared" si="1"/>
        <v>44223.1585587167</v>
      </c>
      <c r="AC28" s="118"/>
      <c r="AD28" s="150"/>
      <c r="AE28" s="150"/>
      <c r="AF28" s="150"/>
    </row>
    <row r="29" spans="1:32">
      <c r="A29" s="114">
        <v>24</v>
      </c>
      <c r="B29" s="118" t="s">
        <v>49</v>
      </c>
      <c r="C29" s="118" t="s">
        <v>52</v>
      </c>
      <c r="D29" s="118" t="s">
        <v>51</v>
      </c>
      <c r="E29" s="114" t="s">
        <v>154</v>
      </c>
      <c r="F29" s="118" t="s">
        <v>153</v>
      </c>
      <c r="G29" s="119">
        <v>41122</v>
      </c>
      <c r="H29" s="120">
        <v>10.9205479452055</v>
      </c>
      <c r="I29" s="133">
        <v>4.07945205479452</v>
      </c>
      <c r="J29" s="134">
        <v>44980</v>
      </c>
      <c r="K29" s="134">
        <v>46440</v>
      </c>
      <c r="L29" s="134">
        <f t="shared" si="2"/>
        <v>45382</v>
      </c>
      <c r="M29" s="135">
        <f t="shared" si="3"/>
        <v>2.8986301369863</v>
      </c>
      <c r="N29" s="138">
        <v>34.7835616438356</v>
      </c>
      <c r="O29" s="137">
        <v>35</v>
      </c>
      <c r="P29" s="138">
        <v>98092.3076923077</v>
      </c>
      <c r="Q29" s="148">
        <v>0.345052</v>
      </c>
      <c r="R29" s="138">
        <v>33846.9469538462</v>
      </c>
      <c r="S29" s="138">
        <v>98092.3076923077</v>
      </c>
      <c r="T29" s="148">
        <v>0.207192020581087</v>
      </c>
      <c r="U29" s="138">
        <v>20323.9434342309</v>
      </c>
      <c r="V29" s="149">
        <f>车辆评估!Z29</f>
        <v>98092.3076923077</v>
      </c>
      <c r="W29" s="148">
        <f>车辆评估!AA29</f>
        <v>0.221917808219178</v>
      </c>
      <c r="X29" s="149">
        <f t="shared" si="0"/>
        <v>21768.4299262381</v>
      </c>
      <c r="Y29" s="149">
        <f>Y28</f>
        <v>7698.7641025641</v>
      </c>
      <c r="Z29" s="149">
        <f>Z28</f>
        <v>641.563675213675</v>
      </c>
      <c r="AA29" s="149">
        <f t="shared" si="4"/>
        <v>22454.7286324786</v>
      </c>
      <c r="AB29" s="149">
        <f t="shared" si="1"/>
        <v>44223.1585587167</v>
      </c>
      <c r="AC29" s="118"/>
      <c r="AD29" s="150"/>
      <c r="AE29" s="150"/>
      <c r="AF29" s="150"/>
    </row>
    <row r="30" spans="1:32">
      <c r="A30" s="114">
        <v>25</v>
      </c>
      <c r="B30" s="118" t="s">
        <v>49</v>
      </c>
      <c r="C30" s="118" t="s">
        <v>53</v>
      </c>
      <c r="D30" s="118" t="s">
        <v>51</v>
      </c>
      <c r="E30" s="114" t="s">
        <v>154</v>
      </c>
      <c r="F30" s="118" t="s">
        <v>153</v>
      </c>
      <c r="G30" s="119">
        <v>41453</v>
      </c>
      <c r="H30" s="120">
        <v>10.013698630137</v>
      </c>
      <c r="I30" s="133">
        <v>4.98630136986301</v>
      </c>
      <c r="J30" s="134">
        <v>44980</v>
      </c>
      <c r="K30" s="134">
        <v>46440</v>
      </c>
      <c r="L30" s="134">
        <f t="shared" si="2"/>
        <v>45382</v>
      </c>
      <c r="M30" s="135">
        <f t="shared" si="3"/>
        <v>2.8986301369863</v>
      </c>
      <c r="N30" s="138">
        <v>34.7835616438356</v>
      </c>
      <c r="O30" s="137">
        <v>35</v>
      </c>
      <c r="P30" s="138">
        <v>98092.3076923077</v>
      </c>
      <c r="Q30" s="148">
        <v>0.57059</v>
      </c>
      <c r="R30" s="138">
        <v>55970.4898461538</v>
      </c>
      <c r="S30" s="138">
        <v>98092.3076923077</v>
      </c>
      <c r="T30" s="148">
        <v>0.236411408547781</v>
      </c>
      <c r="U30" s="138">
        <v>23190.1406292408</v>
      </c>
      <c r="V30" s="149">
        <f>车辆评估!Z30</f>
        <v>98092.3076923077</v>
      </c>
      <c r="W30" s="148">
        <f>车辆评估!AA30</f>
        <v>0.282374429223744</v>
      </c>
      <c r="X30" s="149">
        <f t="shared" si="0"/>
        <v>27698.7593958553</v>
      </c>
      <c r="Y30" s="149">
        <f>Y29</f>
        <v>7698.7641025641</v>
      </c>
      <c r="Z30" s="149">
        <f>Z29</f>
        <v>641.563675213675</v>
      </c>
      <c r="AA30" s="149">
        <f t="shared" si="4"/>
        <v>22454.7286324786</v>
      </c>
      <c r="AB30" s="149">
        <f t="shared" si="1"/>
        <v>50153.4880283339</v>
      </c>
      <c r="AC30" s="118"/>
      <c r="AD30" s="150"/>
      <c r="AE30" s="150"/>
      <c r="AF30" s="150"/>
    </row>
    <row r="31" spans="1:32">
      <c r="A31" s="114">
        <v>26</v>
      </c>
      <c r="B31" s="118" t="s">
        <v>54</v>
      </c>
      <c r="C31" s="118" t="s">
        <v>55</v>
      </c>
      <c r="D31" s="118" t="s">
        <v>56</v>
      </c>
      <c r="E31" s="114" t="s">
        <v>154</v>
      </c>
      <c r="F31" s="118" t="s">
        <v>153</v>
      </c>
      <c r="G31" s="119">
        <v>41932</v>
      </c>
      <c r="H31" s="120">
        <v>8.7013698630137</v>
      </c>
      <c r="I31" s="133">
        <v>6.2986301369863</v>
      </c>
      <c r="J31" s="134">
        <v>44126</v>
      </c>
      <c r="K31" s="134">
        <v>45586</v>
      </c>
      <c r="L31" s="134">
        <f t="shared" si="2"/>
        <v>45382</v>
      </c>
      <c r="M31" s="135">
        <f t="shared" si="3"/>
        <v>0.558904109589041</v>
      </c>
      <c r="N31" s="138">
        <v>6.70684931506849</v>
      </c>
      <c r="O31" s="137">
        <v>7</v>
      </c>
      <c r="P31" s="138">
        <v>82895.7264957265</v>
      </c>
      <c r="Q31" s="148">
        <v>0.756532</v>
      </c>
      <c r="R31" s="138">
        <v>62713.269757265</v>
      </c>
      <c r="S31" s="138">
        <v>82895.7264957265</v>
      </c>
      <c r="T31" s="148">
        <v>0.286456910297584</v>
      </c>
      <c r="U31" s="138">
        <v>23746.0536888394</v>
      </c>
      <c r="V31" s="149">
        <f>车辆评估!Z31</f>
        <v>82895.7264957265</v>
      </c>
      <c r="W31" s="148">
        <f>车辆评估!AA31</f>
        <v>0.36986301369863</v>
      </c>
      <c r="X31" s="149">
        <f t="shared" si="0"/>
        <v>30660.0632244468</v>
      </c>
      <c r="Y31" s="149">
        <f>线路牌评估!T16</f>
        <v>7454.95605698007</v>
      </c>
      <c r="Z31" s="149">
        <f>Y31/12</f>
        <v>621.246338081673</v>
      </c>
      <c r="AA31" s="149">
        <f t="shared" si="4"/>
        <v>4348.72436657171</v>
      </c>
      <c r="AB31" s="149">
        <f t="shared" si="1"/>
        <v>35008.7875910185</v>
      </c>
      <c r="AC31" s="118"/>
      <c r="AD31" s="150"/>
      <c r="AE31" s="150"/>
      <c r="AF31" s="150"/>
    </row>
    <row r="32" spans="1:32">
      <c r="A32" s="114">
        <v>27</v>
      </c>
      <c r="B32" s="118" t="s">
        <v>57</v>
      </c>
      <c r="C32" s="118" t="s">
        <v>58</v>
      </c>
      <c r="D32" s="118" t="s">
        <v>59</v>
      </c>
      <c r="E32" s="114" t="s">
        <v>159</v>
      </c>
      <c r="F32" s="118" t="s">
        <v>153</v>
      </c>
      <c r="G32" s="119">
        <v>42618</v>
      </c>
      <c r="H32" s="120">
        <v>6.82191780821918</v>
      </c>
      <c r="I32" s="133">
        <v>8.17808219178082</v>
      </c>
      <c r="J32" s="134">
        <v>44980</v>
      </c>
      <c r="K32" s="134">
        <v>46440</v>
      </c>
      <c r="L32" s="134">
        <f t="shared" si="2"/>
        <v>45382</v>
      </c>
      <c r="M32" s="135">
        <f t="shared" si="3"/>
        <v>2.8986301369863</v>
      </c>
      <c r="N32" s="138">
        <v>34.7835616438356</v>
      </c>
      <c r="O32" s="137">
        <v>35</v>
      </c>
      <c r="P32" s="138">
        <v>87237.6068376068</v>
      </c>
      <c r="Q32" s="148">
        <v>0.451624</v>
      </c>
      <c r="R32" s="138">
        <v>39398.5969504274</v>
      </c>
      <c r="S32" s="138">
        <v>87237.6068376068</v>
      </c>
      <c r="T32" s="148">
        <v>0.376669109439131</v>
      </c>
      <c r="U32" s="138">
        <v>32859.7116771224</v>
      </c>
      <c r="V32" s="149">
        <f>车辆评估!Z32</f>
        <v>87237.6068376068</v>
      </c>
      <c r="W32" s="148">
        <f>车辆评估!AA32</f>
        <v>0.495159817351598</v>
      </c>
      <c r="X32" s="149">
        <f t="shared" si="0"/>
        <v>43196.5574678999</v>
      </c>
      <c r="Y32" s="149">
        <f>线路牌评估!T17</f>
        <v>9035.5754985755</v>
      </c>
      <c r="Z32" s="149">
        <f>Y32/12</f>
        <v>752.964624881291</v>
      </c>
      <c r="AA32" s="149">
        <f t="shared" si="4"/>
        <v>26353.7618708452</v>
      </c>
      <c r="AB32" s="149">
        <f t="shared" si="1"/>
        <v>69550.3193387451</v>
      </c>
      <c r="AC32" s="118"/>
      <c r="AD32" s="150"/>
      <c r="AE32" s="150"/>
      <c r="AF32" s="150"/>
    </row>
    <row r="33" spans="1:32">
      <c r="A33" s="114">
        <v>28</v>
      </c>
      <c r="B33" s="118" t="s">
        <v>60</v>
      </c>
      <c r="C33" s="118" t="s">
        <v>61</v>
      </c>
      <c r="D33" s="118" t="s">
        <v>13</v>
      </c>
      <c r="E33" s="114" t="s">
        <v>159</v>
      </c>
      <c r="F33" s="118" t="s">
        <v>153</v>
      </c>
      <c r="G33" s="119">
        <v>42004</v>
      </c>
      <c r="H33" s="120">
        <v>8.5041095890411</v>
      </c>
      <c r="I33" s="133">
        <v>6.4958904109589</v>
      </c>
      <c r="J33" s="134">
        <v>45092</v>
      </c>
      <c r="K33" s="134">
        <v>46552</v>
      </c>
      <c r="L33" s="134">
        <f t="shared" si="2"/>
        <v>45382</v>
      </c>
      <c r="M33" s="135">
        <f t="shared" si="3"/>
        <v>3.20547945205479</v>
      </c>
      <c r="N33" s="138">
        <v>38.4657534246575</v>
      </c>
      <c r="O33" s="137">
        <v>39</v>
      </c>
      <c r="P33" s="138">
        <v>87237.6068376068</v>
      </c>
      <c r="Q33" s="148">
        <v>0.466076</v>
      </c>
      <c r="R33" s="138">
        <v>40659.3548444444</v>
      </c>
      <c r="S33" s="138">
        <v>87237.6068376068</v>
      </c>
      <c r="T33" s="148">
        <v>0.29706641825569</v>
      </c>
      <c r="U33" s="138">
        <v>25915.363400446</v>
      </c>
      <c r="V33" s="149">
        <f>车辆评估!Z33</f>
        <v>87237.6068376068</v>
      </c>
      <c r="W33" s="148">
        <f>车辆评估!AA33</f>
        <v>0.383013698630137</v>
      </c>
      <c r="X33" s="149">
        <f t="shared" si="0"/>
        <v>33413.1984545135</v>
      </c>
      <c r="Y33" s="149">
        <f>Y8</f>
        <v>11182.2759384616</v>
      </c>
      <c r="Z33" s="149">
        <f>Z8</f>
        <v>931.856328205133</v>
      </c>
      <c r="AA33" s="149">
        <f t="shared" si="4"/>
        <v>36342.3968000002</v>
      </c>
      <c r="AB33" s="149">
        <f t="shared" si="1"/>
        <v>69755.5952545137</v>
      </c>
      <c r="AC33" s="118"/>
      <c r="AD33" s="150"/>
      <c r="AE33" s="150"/>
      <c r="AF33" s="150"/>
    </row>
    <row r="34" spans="1:32">
      <c r="A34" s="114">
        <v>29</v>
      </c>
      <c r="B34" s="118" t="s">
        <v>62</v>
      </c>
      <c r="C34" s="118" t="s">
        <v>63</v>
      </c>
      <c r="D34" s="118" t="s">
        <v>64</v>
      </c>
      <c r="E34" s="114" t="s">
        <v>154</v>
      </c>
      <c r="F34" s="118" t="s">
        <v>153</v>
      </c>
      <c r="G34" s="119">
        <v>41397</v>
      </c>
      <c r="H34" s="120">
        <v>10.1671232876712</v>
      </c>
      <c r="I34" s="133">
        <v>4.83287671232877</v>
      </c>
      <c r="J34" s="134">
        <v>43586</v>
      </c>
      <c r="K34" s="134">
        <v>45777</v>
      </c>
      <c r="L34" s="134">
        <f t="shared" si="2"/>
        <v>45382</v>
      </c>
      <c r="M34" s="135">
        <f t="shared" si="3"/>
        <v>1.08219178082192</v>
      </c>
      <c r="N34" s="138">
        <v>12.986301369863</v>
      </c>
      <c r="O34" s="137">
        <v>13</v>
      </c>
      <c r="P34" s="138">
        <v>98092.3076923077</v>
      </c>
      <c r="Q34" s="148">
        <v>0.654352</v>
      </c>
      <c r="R34" s="138">
        <v>64186.8977230769</v>
      </c>
      <c r="S34" s="138">
        <v>98092.3076923077</v>
      </c>
      <c r="T34" s="148">
        <v>0.231098793533143</v>
      </c>
      <c r="U34" s="138">
        <v>22669.0139625741</v>
      </c>
      <c r="V34" s="149">
        <f>车辆评估!Z34</f>
        <v>98092.3076923077</v>
      </c>
      <c r="W34" s="148">
        <f>车辆评估!AA34</f>
        <v>0.272146118721461</v>
      </c>
      <c r="X34" s="149">
        <f t="shared" si="0"/>
        <v>26695.4408148929</v>
      </c>
      <c r="Y34" s="149">
        <f>线路牌评估!T5</f>
        <v>8662.9641025641</v>
      </c>
      <c r="Z34" s="149">
        <f>Y34/12</f>
        <v>721.913675213675</v>
      </c>
      <c r="AA34" s="149">
        <f t="shared" si="4"/>
        <v>9384.87777777777</v>
      </c>
      <c r="AB34" s="149">
        <f t="shared" si="1"/>
        <v>36080.3185926707</v>
      </c>
      <c r="AC34" s="118"/>
      <c r="AD34" s="150"/>
      <c r="AE34" s="150"/>
      <c r="AF34" s="150"/>
    </row>
    <row r="35" spans="1:32">
      <c r="A35" s="114">
        <v>30</v>
      </c>
      <c r="B35" s="118" t="s">
        <v>62</v>
      </c>
      <c r="C35" s="118" t="s">
        <v>65</v>
      </c>
      <c r="D35" s="118" t="s">
        <v>64</v>
      </c>
      <c r="E35" s="114" t="s">
        <v>154</v>
      </c>
      <c r="F35" s="118" t="s">
        <v>153</v>
      </c>
      <c r="G35" s="119">
        <v>42454</v>
      </c>
      <c r="H35" s="120">
        <v>7.27123287671233</v>
      </c>
      <c r="I35" s="133">
        <v>7.72876712328767</v>
      </c>
      <c r="J35" s="134">
        <v>44562</v>
      </c>
      <c r="K35" s="134">
        <v>46022</v>
      </c>
      <c r="L35" s="134">
        <f t="shared" si="2"/>
        <v>45382</v>
      </c>
      <c r="M35" s="135">
        <f t="shared" si="3"/>
        <v>1.75342465753425</v>
      </c>
      <c r="N35" s="138">
        <v>21.041095890411</v>
      </c>
      <c r="O35" s="137">
        <v>21</v>
      </c>
      <c r="P35" s="138">
        <v>106776.068376068</v>
      </c>
      <c r="Q35" s="148">
        <v>0.52</v>
      </c>
      <c r="R35" s="138">
        <v>55523.5555555556</v>
      </c>
      <c r="S35" s="138">
        <v>106776.068376068</v>
      </c>
      <c r="T35" s="148">
        <v>0.350930086938976</v>
      </c>
      <c r="U35" s="138">
        <v>37470.9349582157</v>
      </c>
      <c r="V35" s="149">
        <f>车辆评估!Z35</f>
        <v>106776.068376068</v>
      </c>
      <c r="W35" s="148">
        <f>车辆评估!AA35</f>
        <v>0.465205479452055</v>
      </c>
      <c r="X35" s="149">
        <f t="shared" si="0"/>
        <v>49672.8120828943</v>
      </c>
      <c r="Y35" s="149">
        <f>Y34</f>
        <v>8662.9641025641</v>
      </c>
      <c r="Z35" s="149">
        <f>Z34</f>
        <v>721.913675213675</v>
      </c>
      <c r="AA35" s="149">
        <f t="shared" si="4"/>
        <v>15160.1871794872</v>
      </c>
      <c r="AB35" s="149">
        <f t="shared" si="1"/>
        <v>64832.9992623815</v>
      </c>
      <c r="AC35" s="118"/>
      <c r="AD35" s="150"/>
      <c r="AE35" s="150"/>
      <c r="AF35" s="150"/>
    </row>
    <row r="36" spans="1:32">
      <c r="A36" s="114">
        <v>31</v>
      </c>
      <c r="B36" s="118" t="s">
        <v>66</v>
      </c>
      <c r="C36" s="118" t="s">
        <v>67</v>
      </c>
      <c r="D36" s="118" t="s">
        <v>68</v>
      </c>
      <c r="E36" s="114" t="s">
        <v>160</v>
      </c>
      <c r="F36" s="118" t="s">
        <v>153</v>
      </c>
      <c r="G36" s="119">
        <v>41079</v>
      </c>
      <c r="H36" s="120">
        <v>11.0383561643836</v>
      </c>
      <c r="I36" s="133">
        <v>3.96164383561644</v>
      </c>
      <c r="J36" s="134">
        <v>44580</v>
      </c>
      <c r="K36" s="134">
        <v>46040</v>
      </c>
      <c r="L36" s="134">
        <f t="shared" si="2"/>
        <v>45382</v>
      </c>
      <c r="M36" s="135">
        <f t="shared" si="3"/>
        <v>1.8027397260274</v>
      </c>
      <c r="N36" s="138">
        <v>21.6328767123288</v>
      </c>
      <c r="O36" s="137">
        <v>22</v>
      </c>
      <c r="P36" s="138">
        <v>106776.068376068</v>
      </c>
      <c r="Q36" s="148">
        <v>0.779164</v>
      </c>
      <c r="R36" s="138">
        <v>83196.0685401709</v>
      </c>
      <c r="S36" s="138">
        <v>106776.068376068</v>
      </c>
      <c r="T36" s="148">
        <v>0.204889889553615</v>
      </c>
      <c r="U36" s="138">
        <v>21877.3368565419</v>
      </c>
      <c r="V36" s="149">
        <f>车辆评估!Z36</f>
        <v>106776.068376068</v>
      </c>
      <c r="W36" s="148">
        <f>车辆评估!AA36</f>
        <v>0.214063926940639</v>
      </c>
      <c r="X36" s="149">
        <f t="shared" si="0"/>
        <v>22856.9044998634</v>
      </c>
      <c r="Y36" s="149">
        <f>线路牌评估!T18</f>
        <v>13411.148985755</v>
      </c>
      <c r="Z36" s="149">
        <f>Y36/12</f>
        <v>1117.59574881292</v>
      </c>
      <c r="AA36" s="149">
        <f t="shared" si="4"/>
        <v>24587.1064738842</v>
      </c>
      <c r="AB36" s="149">
        <f t="shared" si="1"/>
        <v>47444.0109737476</v>
      </c>
      <c r="AC36" s="118"/>
      <c r="AD36" s="150"/>
      <c r="AE36" s="150"/>
      <c r="AF36" s="150"/>
    </row>
    <row r="37" spans="1:32">
      <c r="A37" s="114">
        <v>32</v>
      </c>
      <c r="B37" s="118" t="s">
        <v>69</v>
      </c>
      <c r="C37" s="118" t="s">
        <v>70</v>
      </c>
      <c r="D37" s="118" t="s">
        <v>71</v>
      </c>
      <c r="E37" s="114" t="s">
        <v>150</v>
      </c>
      <c r="F37" s="118" t="s">
        <v>151</v>
      </c>
      <c r="G37" s="119">
        <v>41841</v>
      </c>
      <c r="H37" s="120">
        <v>8.95068493150685</v>
      </c>
      <c r="I37" s="133">
        <v>6.04931506849315</v>
      </c>
      <c r="J37" s="134">
        <v>43994</v>
      </c>
      <c r="K37" s="134">
        <v>45454</v>
      </c>
      <c r="L37" s="134">
        <f t="shared" si="2"/>
        <v>45382</v>
      </c>
      <c r="M37" s="135">
        <f t="shared" si="3"/>
        <v>0.197260273972603</v>
      </c>
      <c r="N37" s="138">
        <v>2.36712328767123</v>
      </c>
      <c r="O37" s="137">
        <v>3</v>
      </c>
      <c r="P37" s="138">
        <v>184929.914529915</v>
      </c>
      <c r="Q37" s="148">
        <v>0.533916666666667</v>
      </c>
      <c r="R37" s="138">
        <v>98737.1635327635</v>
      </c>
      <c r="S37" s="138">
        <v>184929.914529915</v>
      </c>
      <c r="T37" s="148">
        <v>0.275847364678962</v>
      </c>
      <c r="U37" s="138">
        <v>51012.4295733825</v>
      </c>
      <c r="V37" s="149">
        <f>车辆评估!Z37</f>
        <v>184929.914529915</v>
      </c>
      <c r="W37" s="148">
        <f>车辆评估!AA37</f>
        <v>0.35324200913242</v>
      </c>
      <c r="X37" s="149">
        <f t="shared" si="0"/>
        <v>65325.0145572337</v>
      </c>
      <c r="Y37" s="149">
        <f>线路牌评估!T19</f>
        <v>12866.0473504273</v>
      </c>
      <c r="Z37" s="149">
        <f>Y37/12</f>
        <v>1072.17061253561</v>
      </c>
      <c r="AA37" s="149">
        <f t="shared" si="4"/>
        <v>3216.51183760683</v>
      </c>
      <c r="AB37" s="149">
        <f t="shared" si="1"/>
        <v>68541.5263948405</v>
      </c>
      <c r="AC37" s="118"/>
      <c r="AD37" s="150"/>
      <c r="AE37" s="150"/>
      <c r="AF37" s="150"/>
    </row>
    <row r="38" spans="1:32">
      <c r="A38" s="114">
        <v>33</v>
      </c>
      <c r="B38" s="118" t="s">
        <v>72</v>
      </c>
      <c r="C38" s="118" t="s">
        <v>73</v>
      </c>
      <c r="D38" s="118" t="s">
        <v>71</v>
      </c>
      <c r="E38" s="114" t="s">
        <v>150</v>
      </c>
      <c r="F38" s="118" t="s">
        <v>151</v>
      </c>
      <c r="G38" s="119">
        <v>42446</v>
      </c>
      <c r="H38" s="120">
        <v>7.29315068493151</v>
      </c>
      <c r="I38" s="133">
        <v>7.70684931506849</v>
      </c>
      <c r="J38" s="134">
        <v>43142</v>
      </c>
      <c r="K38" s="134">
        <v>45332</v>
      </c>
      <c r="L38" s="134">
        <f t="shared" si="2"/>
        <v>45382</v>
      </c>
      <c r="M38" s="135">
        <f t="shared" si="3"/>
        <v>-0.136986301369863</v>
      </c>
      <c r="N38" s="138"/>
      <c r="O38" s="137">
        <v>2</v>
      </c>
      <c r="P38" s="138">
        <v>228348.717948718</v>
      </c>
      <c r="Q38" s="148">
        <v>0.684346666666667</v>
      </c>
      <c r="R38" s="138">
        <v>156269.683965812</v>
      </c>
      <c r="S38" s="138">
        <v>228348.717948718</v>
      </c>
      <c r="T38" s="148">
        <v>0.350930077703329</v>
      </c>
      <c r="U38" s="138">
        <v>80134.4333331992</v>
      </c>
      <c r="V38" s="149">
        <f>车辆评估!Z38</f>
        <v>228348.717948718</v>
      </c>
      <c r="W38" s="148">
        <f>车辆评估!AA38</f>
        <v>0.463744292237443</v>
      </c>
      <c r="X38" s="149">
        <f t="shared" si="0"/>
        <v>105895.414588456</v>
      </c>
      <c r="Y38" s="149">
        <f>Y37</f>
        <v>12866.0473504273</v>
      </c>
      <c r="Z38" s="149">
        <f>Z37</f>
        <v>1072.17061253561</v>
      </c>
      <c r="AA38" s="149">
        <f t="shared" ref="AA38:AA67" si="5">Z38*O38</f>
        <v>2144.34122507122</v>
      </c>
      <c r="AB38" s="149">
        <f t="shared" si="1"/>
        <v>108039.755813527</v>
      </c>
      <c r="AC38" s="118"/>
      <c r="AD38" s="150"/>
      <c r="AE38" s="150"/>
      <c r="AF38" s="150"/>
    </row>
    <row r="39" spans="1:32">
      <c r="A39" s="114">
        <v>34</v>
      </c>
      <c r="B39" s="118" t="s">
        <v>74</v>
      </c>
      <c r="C39" s="118" t="s">
        <v>75</v>
      </c>
      <c r="D39" s="118" t="s">
        <v>76</v>
      </c>
      <c r="E39" s="114" t="s">
        <v>161</v>
      </c>
      <c r="F39" s="118" t="s">
        <v>153</v>
      </c>
      <c r="G39" s="119">
        <v>41008</v>
      </c>
      <c r="H39" s="120">
        <v>11.2328767123288</v>
      </c>
      <c r="I39" s="133">
        <v>3.76712328767123</v>
      </c>
      <c r="J39" s="134">
        <v>43210</v>
      </c>
      <c r="K39" s="134">
        <v>45401</v>
      </c>
      <c r="L39" s="134">
        <f t="shared" si="2"/>
        <v>45382</v>
      </c>
      <c r="M39" s="135">
        <f t="shared" si="3"/>
        <v>0.0520547945205479</v>
      </c>
      <c r="N39" s="138" t="s">
        <v>162</v>
      </c>
      <c r="O39" s="137">
        <v>1</v>
      </c>
      <c r="P39" s="138">
        <v>74211.9658119658</v>
      </c>
      <c r="Q39" s="148">
        <v>0.339746</v>
      </c>
      <c r="R39" s="138">
        <v>25213.2185367521</v>
      </c>
      <c r="S39" s="138">
        <v>74211.9658119658</v>
      </c>
      <c r="T39" s="148">
        <v>0.200285620859799</v>
      </c>
      <c r="U39" s="138">
        <v>14863.5896478757</v>
      </c>
      <c r="V39" s="149">
        <f>车辆评估!Z39</f>
        <v>74211.9658119658</v>
      </c>
      <c r="W39" s="148">
        <f>车辆评估!AA39</f>
        <v>0.201095890410959</v>
      </c>
      <c r="X39" s="149">
        <f t="shared" ref="X39:X64" si="6">V39*W39</f>
        <v>14923.7213441049</v>
      </c>
      <c r="Y39" s="149">
        <f>线路牌评估!T6</f>
        <v>10453.6466666667</v>
      </c>
      <c r="Z39" s="149">
        <f>Y39/12</f>
        <v>871.137222222223</v>
      </c>
      <c r="AA39" s="149">
        <f t="shared" si="5"/>
        <v>871.137222222223</v>
      </c>
      <c r="AB39" s="149">
        <f t="shared" ref="AB39:AB67" si="7">X39+AA39</f>
        <v>15794.8585663271</v>
      </c>
      <c r="AC39" s="118"/>
      <c r="AD39" s="150"/>
      <c r="AE39" s="150"/>
      <c r="AF39" s="150"/>
    </row>
    <row r="40" spans="1:32">
      <c r="A40" s="114">
        <v>35</v>
      </c>
      <c r="B40" s="118" t="s">
        <v>74</v>
      </c>
      <c r="C40" s="118" t="s">
        <v>77</v>
      </c>
      <c r="D40" s="118" t="s">
        <v>76</v>
      </c>
      <c r="E40" s="114" t="s">
        <v>161</v>
      </c>
      <c r="F40" s="118" t="s">
        <v>153</v>
      </c>
      <c r="G40" s="119">
        <v>40996</v>
      </c>
      <c r="H40" s="120">
        <v>11.2657534246575</v>
      </c>
      <c r="I40" s="133">
        <v>3.73424657534247</v>
      </c>
      <c r="J40" s="134">
        <v>43210</v>
      </c>
      <c r="K40" s="134">
        <v>45401</v>
      </c>
      <c r="L40" s="134">
        <f t="shared" ref="L40:L64" si="8">L39</f>
        <v>45382</v>
      </c>
      <c r="M40" s="135">
        <f t="shared" ref="M40:M64" si="9">(K40-L40)/365</f>
        <v>0.0520547945205479</v>
      </c>
      <c r="N40" s="138" t="s">
        <v>162</v>
      </c>
      <c r="O40" s="137">
        <v>1</v>
      </c>
      <c r="P40" s="138">
        <v>74211.9658119658</v>
      </c>
      <c r="Q40" s="148">
        <v>0.11632</v>
      </c>
      <c r="R40" s="138">
        <v>8632.33586324786</v>
      </c>
      <c r="S40" s="138">
        <v>74211.9658119658</v>
      </c>
      <c r="T40" s="148">
        <v>0.197983487619369</v>
      </c>
      <c r="U40" s="138">
        <v>14692.7438145424</v>
      </c>
      <c r="V40" s="149">
        <f>车辆评估!Z40</f>
        <v>74211.9658119658</v>
      </c>
      <c r="W40" s="148">
        <f>车辆评估!AA40</f>
        <v>0.198904109589041</v>
      </c>
      <c r="X40" s="149">
        <f t="shared" si="6"/>
        <v>14761.0649806814</v>
      </c>
      <c r="Y40" s="149">
        <f>Y39</f>
        <v>10453.6466666667</v>
      </c>
      <c r="Z40" s="149">
        <f>Z39</f>
        <v>871.137222222223</v>
      </c>
      <c r="AA40" s="149">
        <f t="shared" si="5"/>
        <v>871.137222222223</v>
      </c>
      <c r="AB40" s="149">
        <f t="shared" si="7"/>
        <v>15632.2022029036</v>
      </c>
      <c r="AC40" s="118"/>
      <c r="AD40" s="150"/>
      <c r="AE40" s="150"/>
      <c r="AF40" s="150"/>
    </row>
    <row r="41" spans="1:32">
      <c r="A41" s="114">
        <v>36</v>
      </c>
      <c r="B41" s="118" t="s">
        <v>74</v>
      </c>
      <c r="C41" s="118" t="s">
        <v>78</v>
      </c>
      <c r="D41" s="118" t="s">
        <v>76</v>
      </c>
      <c r="E41" s="114" t="s">
        <v>161</v>
      </c>
      <c r="F41" s="118" t="s">
        <v>153</v>
      </c>
      <c r="G41" s="119">
        <v>40996</v>
      </c>
      <c r="H41" s="120">
        <v>11.2657534246575</v>
      </c>
      <c r="I41" s="133">
        <v>3.73424657534247</v>
      </c>
      <c r="J41" s="134">
        <v>43210</v>
      </c>
      <c r="K41" s="134">
        <v>45401</v>
      </c>
      <c r="L41" s="134">
        <f t="shared" si="8"/>
        <v>45382</v>
      </c>
      <c r="M41" s="135">
        <f t="shared" si="9"/>
        <v>0.0520547945205479</v>
      </c>
      <c r="N41" s="138">
        <v>0.624657534246575</v>
      </c>
      <c r="O41" s="137">
        <v>1</v>
      </c>
      <c r="P41" s="138">
        <v>74211.9658119658</v>
      </c>
      <c r="Q41" s="148">
        <v>0.086</v>
      </c>
      <c r="R41" s="138">
        <v>6382.22905982906</v>
      </c>
      <c r="S41" s="138">
        <v>74211.9658119658</v>
      </c>
      <c r="T41" s="148">
        <v>0.197983487619369</v>
      </c>
      <c r="U41" s="138">
        <v>14692.7438145424</v>
      </c>
      <c r="V41" s="149">
        <f>车辆评估!Z41</f>
        <v>74211.9658119658</v>
      </c>
      <c r="W41" s="148">
        <f>车辆评估!AA41</f>
        <v>0.198904109589041</v>
      </c>
      <c r="X41" s="149">
        <f t="shared" si="6"/>
        <v>14761.0649806814</v>
      </c>
      <c r="Y41" s="149">
        <f t="shared" ref="Y41:Y50" si="10">Y40</f>
        <v>10453.6466666667</v>
      </c>
      <c r="Z41" s="149">
        <f t="shared" ref="Z41:Z50" si="11">Z40</f>
        <v>871.137222222223</v>
      </c>
      <c r="AA41" s="149">
        <f t="shared" si="5"/>
        <v>871.137222222223</v>
      </c>
      <c r="AB41" s="149">
        <f t="shared" si="7"/>
        <v>15632.2022029036</v>
      </c>
      <c r="AC41" s="118"/>
      <c r="AD41" s="150"/>
      <c r="AE41" s="150"/>
      <c r="AF41" s="150"/>
    </row>
    <row r="42" spans="1:32">
      <c r="A42" s="114">
        <v>37</v>
      </c>
      <c r="B42" s="118" t="s">
        <v>74</v>
      </c>
      <c r="C42" s="118" t="s">
        <v>79</v>
      </c>
      <c r="D42" s="118" t="s">
        <v>76</v>
      </c>
      <c r="E42" s="114" t="s">
        <v>163</v>
      </c>
      <c r="F42" s="118" t="s">
        <v>153</v>
      </c>
      <c r="G42" s="119">
        <v>41247</v>
      </c>
      <c r="H42" s="120">
        <v>10.5780821917808</v>
      </c>
      <c r="I42" s="133">
        <v>4.42191780821918</v>
      </c>
      <c r="J42" s="134">
        <v>43446</v>
      </c>
      <c r="K42" s="134">
        <v>45637</v>
      </c>
      <c r="L42" s="134">
        <f t="shared" si="8"/>
        <v>45382</v>
      </c>
      <c r="M42" s="135">
        <f t="shared" si="9"/>
        <v>0.698630136986301</v>
      </c>
      <c r="N42" s="138">
        <v>8.38356164383562</v>
      </c>
      <c r="O42" s="137">
        <v>9</v>
      </c>
      <c r="P42" s="138">
        <v>108947.008547009</v>
      </c>
      <c r="Q42" s="148">
        <v>0.336</v>
      </c>
      <c r="R42" s="138">
        <v>36606.1948717949</v>
      </c>
      <c r="S42" s="138">
        <v>108947.008547009</v>
      </c>
      <c r="T42" s="148">
        <v>0.191077068397009</v>
      </c>
      <c r="U42" s="138">
        <v>20817.2750037863</v>
      </c>
      <c r="V42" s="149">
        <f>车辆评估!Z42</f>
        <v>108947.008547009</v>
      </c>
      <c r="W42" s="148">
        <f>车辆评估!AA42</f>
        <v>0.244748858447489</v>
      </c>
      <c r="X42" s="149">
        <f t="shared" si="6"/>
        <v>26664.6559731491</v>
      </c>
      <c r="Y42" s="149">
        <f t="shared" si="10"/>
        <v>10453.6466666667</v>
      </c>
      <c r="Z42" s="149">
        <f t="shared" si="11"/>
        <v>871.137222222223</v>
      </c>
      <c r="AA42" s="149">
        <f t="shared" si="5"/>
        <v>7840.23500000001</v>
      </c>
      <c r="AB42" s="149">
        <f t="shared" si="7"/>
        <v>34504.8909731491</v>
      </c>
      <c r="AC42" s="118"/>
      <c r="AD42" s="150"/>
      <c r="AE42" s="150"/>
      <c r="AF42" s="150"/>
    </row>
    <row r="43" spans="1:32">
      <c r="A43" s="114">
        <v>38</v>
      </c>
      <c r="B43" s="118" t="s">
        <v>74</v>
      </c>
      <c r="C43" s="118" t="s">
        <v>80</v>
      </c>
      <c r="D43" s="118" t="s">
        <v>76</v>
      </c>
      <c r="E43" s="114" t="s">
        <v>163</v>
      </c>
      <c r="F43" s="118" t="s">
        <v>153</v>
      </c>
      <c r="G43" s="119">
        <v>41247</v>
      </c>
      <c r="H43" s="120">
        <v>10.5780821917808</v>
      </c>
      <c r="I43" s="133">
        <v>4.42191780821918</v>
      </c>
      <c r="J43" s="134">
        <v>43446</v>
      </c>
      <c r="K43" s="134">
        <v>45637</v>
      </c>
      <c r="L43" s="134">
        <f t="shared" si="8"/>
        <v>45382</v>
      </c>
      <c r="M43" s="135">
        <f t="shared" si="9"/>
        <v>0.698630136986301</v>
      </c>
      <c r="N43" s="138">
        <v>8.38356164383562</v>
      </c>
      <c r="O43" s="137">
        <v>9</v>
      </c>
      <c r="P43" s="138">
        <v>108947.008547009</v>
      </c>
      <c r="Q43" s="148">
        <v>0.336</v>
      </c>
      <c r="R43" s="138">
        <v>36606.1948717949</v>
      </c>
      <c r="S43" s="138">
        <v>108947.008547009</v>
      </c>
      <c r="T43" s="148">
        <v>0.191077068397009</v>
      </c>
      <c r="U43" s="138">
        <v>20817.2750037863</v>
      </c>
      <c r="V43" s="149">
        <f>车辆评估!Z43</f>
        <v>108947.008547009</v>
      </c>
      <c r="W43" s="148">
        <f>车辆评估!AA43</f>
        <v>0.244748858447489</v>
      </c>
      <c r="X43" s="149">
        <f t="shared" si="6"/>
        <v>26664.6559731491</v>
      </c>
      <c r="Y43" s="149">
        <f t="shared" si="10"/>
        <v>10453.6466666667</v>
      </c>
      <c r="Z43" s="149">
        <f t="shared" si="11"/>
        <v>871.137222222223</v>
      </c>
      <c r="AA43" s="149">
        <f t="shared" si="5"/>
        <v>7840.23500000001</v>
      </c>
      <c r="AB43" s="149">
        <f t="shared" si="7"/>
        <v>34504.8909731491</v>
      </c>
      <c r="AC43" s="118"/>
      <c r="AD43" s="150"/>
      <c r="AE43" s="150"/>
      <c r="AF43" s="150"/>
    </row>
    <row r="44" spans="1:32">
      <c r="A44" s="114">
        <v>39</v>
      </c>
      <c r="B44" s="118" t="s">
        <v>74</v>
      </c>
      <c r="C44" s="118" t="s">
        <v>81</v>
      </c>
      <c r="D44" s="118" t="s">
        <v>76</v>
      </c>
      <c r="E44" s="114" t="s">
        <v>163</v>
      </c>
      <c r="F44" s="118" t="s">
        <v>153</v>
      </c>
      <c r="G44" s="119">
        <v>41716</v>
      </c>
      <c r="H44" s="120">
        <v>9.29315068493151</v>
      </c>
      <c r="I44" s="133">
        <v>5.70684931506849</v>
      </c>
      <c r="J44" s="134">
        <v>43111</v>
      </c>
      <c r="K44" s="134">
        <v>45301</v>
      </c>
      <c r="L44" s="134">
        <f t="shared" si="8"/>
        <v>45382</v>
      </c>
      <c r="M44" s="135">
        <f t="shared" si="9"/>
        <v>-0.221917808219178</v>
      </c>
      <c r="N44" s="138"/>
      <c r="O44" s="137">
        <v>3</v>
      </c>
      <c r="P44" s="138">
        <v>108947.008547009</v>
      </c>
      <c r="Q44" s="148">
        <v>0.302866</v>
      </c>
      <c r="R44" s="138">
        <v>32996.3446905983</v>
      </c>
      <c r="S44" s="138">
        <v>108947.008547009</v>
      </c>
      <c r="T44" s="148">
        <v>0.263587490043759</v>
      </c>
      <c r="U44" s="138">
        <v>28717.0685306819</v>
      </c>
      <c r="V44" s="149">
        <f>车辆评估!Z44</f>
        <v>108947.008547009</v>
      </c>
      <c r="W44" s="148">
        <f>车辆评估!AA44</f>
        <v>0.33041095890411</v>
      </c>
      <c r="X44" s="149">
        <f t="shared" si="6"/>
        <v>35997.2855637513</v>
      </c>
      <c r="Y44" s="149">
        <f t="shared" si="10"/>
        <v>10453.6466666667</v>
      </c>
      <c r="Z44" s="149">
        <f t="shared" si="11"/>
        <v>871.137222222223</v>
      </c>
      <c r="AA44" s="149">
        <f t="shared" si="5"/>
        <v>2613.41166666667</v>
      </c>
      <c r="AB44" s="149">
        <f t="shared" si="7"/>
        <v>38610.697230418</v>
      </c>
      <c r="AC44" s="118"/>
      <c r="AD44" s="150"/>
      <c r="AE44" s="150"/>
      <c r="AF44" s="150"/>
    </row>
    <row r="45" spans="1:32">
      <c r="A45" s="114">
        <v>40</v>
      </c>
      <c r="B45" s="118" t="s">
        <v>74</v>
      </c>
      <c r="C45" s="118" t="s">
        <v>82</v>
      </c>
      <c r="D45" s="118" t="s">
        <v>76</v>
      </c>
      <c r="E45" s="114" t="s">
        <v>163</v>
      </c>
      <c r="F45" s="118" t="s">
        <v>153</v>
      </c>
      <c r="G45" s="119">
        <v>41716</v>
      </c>
      <c r="H45" s="120">
        <v>9.29315068493151</v>
      </c>
      <c r="I45" s="133">
        <v>5.70684931506849</v>
      </c>
      <c r="J45" s="134">
        <v>43282</v>
      </c>
      <c r="K45" s="134">
        <v>45473</v>
      </c>
      <c r="L45" s="134">
        <f t="shared" si="8"/>
        <v>45382</v>
      </c>
      <c r="M45" s="135">
        <f t="shared" si="9"/>
        <v>0.249315068493151</v>
      </c>
      <c r="N45" s="138">
        <v>2.99178082191781</v>
      </c>
      <c r="O45" s="137">
        <v>3</v>
      </c>
      <c r="P45" s="138">
        <v>108947.008547009</v>
      </c>
      <c r="Q45" s="148">
        <v>0.356</v>
      </c>
      <c r="R45" s="138">
        <v>38785.135042735</v>
      </c>
      <c r="S45" s="138">
        <v>108947.008547009</v>
      </c>
      <c r="T45" s="148">
        <v>0.263587490043759</v>
      </c>
      <c r="U45" s="138">
        <v>28717.0685306819</v>
      </c>
      <c r="V45" s="149">
        <f>车辆评估!Z45</f>
        <v>108947.008547009</v>
      </c>
      <c r="W45" s="148">
        <f>车辆评估!AA45</f>
        <v>0.33041095890411</v>
      </c>
      <c r="X45" s="149">
        <f t="shared" si="6"/>
        <v>35997.2855637513</v>
      </c>
      <c r="Y45" s="149">
        <f t="shared" si="10"/>
        <v>10453.6466666667</v>
      </c>
      <c r="Z45" s="149">
        <f t="shared" si="11"/>
        <v>871.137222222223</v>
      </c>
      <c r="AA45" s="149">
        <f t="shared" si="5"/>
        <v>2613.41166666667</v>
      </c>
      <c r="AB45" s="149">
        <f t="shared" si="7"/>
        <v>38610.697230418</v>
      </c>
      <c r="AC45" s="118"/>
      <c r="AD45" s="150"/>
      <c r="AE45" s="150"/>
      <c r="AF45" s="150"/>
    </row>
    <row r="46" spans="1:32">
      <c r="A46" s="114">
        <v>41</v>
      </c>
      <c r="B46" s="118" t="s">
        <v>74</v>
      </c>
      <c r="C46" s="118" t="s">
        <v>83</v>
      </c>
      <c r="D46" s="118" t="s">
        <v>76</v>
      </c>
      <c r="E46" s="114" t="s">
        <v>163</v>
      </c>
      <c r="F46" s="118" t="s">
        <v>153</v>
      </c>
      <c r="G46" s="119">
        <v>41716</v>
      </c>
      <c r="H46" s="120">
        <v>9.29315068493151</v>
      </c>
      <c r="I46" s="133">
        <v>5.70684931506849</v>
      </c>
      <c r="J46" s="134">
        <v>45027</v>
      </c>
      <c r="K46" s="134">
        <v>46487</v>
      </c>
      <c r="L46" s="134">
        <f t="shared" si="8"/>
        <v>45382</v>
      </c>
      <c r="M46" s="135">
        <f t="shared" si="9"/>
        <v>3.02739726027397</v>
      </c>
      <c r="N46" s="138">
        <v>36.3287671232877</v>
      </c>
      <c r="O46" s="137">
        <v>37</v>
      </c>
      <c r="P46" s="138">
        <v>108947.008547009</v>
      </c>
      <c r="Q46" s="148">
        <v>0.36</v>
      </c>
      <c r="R46" s="138">
        <v>39220.9230769231</v>
      </c>
      <c r="S46" s="138">
        <v>108947.008547009</v>
      </c>
      <c r="T46" s="148">
        <v>0.263587490043759</v>
      </c>
      <c r="U46" s="138">
        <v>28717.0685306819</v>
      </c>
      <c r="V46" s="149">
        <f>车辆评估!Z46</f>
        <v>108947.008547009</v>
      </c>
      <c r="W46" s="148">
        <f>车辆评估!AA46</f>
        <v>0.33041095890411</v>
      </c>
      <c r="X46" s="149">
        <f t="shared" si="6"/>
        <v>35997.2855637513</v>
      </c>
      <c r="Y46" s="149">
        <f t="shared" si="10"/>
        <v>10453.6466666667</v>
      </c>
      <c r="Z46" s="149">
        <f t="shared" si="11"/>
        <v>871.137222222223</v>
      </c>
      <c r="AA46" s="149">
        <f t="shared" si="5"/>
        <v>32232.0772222223</v>
      </c>
      <c r="AB46" s="149">
        <f t="shared" si="7"/>
        <v>68229.3627859736</v>
      </c>
      <c r="AC46" s="118"/>
      <c r="AD46" s="150"/>
      <c r="AE46" s="150"/>
      <c r="AF46" s="150"/>
    </row>
    <row r="47" spans="1:32">
      <c r="A47" s="114">
        <v>42</v>
      </c>
      <c r="B47" s="118" t="s">
        <v>74</v>
      </c>
      <c r="C47" s="118" t="s">
        <v>84</v>
      </c>
      <c r="D47" s="118" t="s">
        <v>76</v>
      </c>
      <c r="E47" s="114" t="s">
        <v>163</v>
      </c>
      <c r="F47" s="118" t="s">
        <v>153</v>
      </c>
      <c r="G47" s="119">
        <v>41716</v>
      </c>
      <c r="H47" s="120">
        <v>9.29315068493151</v>
      </c>
      <c r="I47" s="133">
        <v>5.70684931506849</v>
      </c>
      <c r="J47" s="134">
        <v>45027</v>
      </c>
      <c r="K47" s="134">
        <v>46487</v>
      </c>
      <c r="L47" s="134">
        <f t="shared" si="8"/>
        <v>45382</v>
      </c>
      <c r="M47" s="135">
        <f t="shared" si="9"/>
        <v>3.02739726027397</v>
      </c>
      <c r="N47" s="141">
        <v>36.3287671232877</v>
      </c>
      <c r="O47" s="137">
        <v>37</v>
      </c>
      <c r="P47" s="138">
        <v>108947.008547009</v>
      </c>
      <c r="Q47" s="148">
        <v>0.84274</v>
      </c>
      <c r="R47" s="138">
        <v>91814.001982906</v>
      </c>
      <c r="S47" s="138">
        <v>108947.008547009</v>
      </c>
      <c r="T47" s="148">
        <v>0.263587490043759</v>
      </c>
      <c r="U47" s="138">
        <v>28717.0685306819</v>
      </c>
      <c r="V47" s="149">
        <f>车辆评估!Z47</f>
        <v>108947.008547009</v>
      </c>
      <c r="W47" s="148">
        <f>车辆评估!AA47</f>
        <v>0.33041095890411</v>
      </c>
      <c r="X47" s="149">
        <f t="shared" si="6"/>
        <v>35997.2855637513</v>
      </c>
      <c r="Y47" s="149">
        <f t="shared" si="10"/>
        <v>10453.6466666667</v>
      </c>
      <c r="Z47" s="149">
        <f t="shared" si="11"/>
        <v>871.137222222223</v>
      </c>
      <c r="AA47" s="149">
        <f t="shared" si="5"/>
        <v>32232.0772222223</v>
      </c>
      <c r="AB47" s="149">
        <f t="shared" si="7"/>
        <v>68229.3627859736</v>
      </c>
      <c r="AC47" s="118"/>
      <c r="AD47" s="150"/>
      <c r="AE47" s="150"/>
      <c r="AF47" s="150"/>
    </row>
    <row r="48" spans="1:32">
      <c r="A48" s="114">
        <v>43</v>
      </c>
      <c r="B48" s="118" t="s">
        <v>74</v>
      </c>
      <c r="C48" s="118" t="s">
        <v>85</v>
      </c>
      <c r="D48" s="118" t="s">
        <v>76</v>
      </c>
      <c r="E48" s="114" t="s">
        <v>160</v>
      </c>
      <c r="F48" s="118" t="s">
        <v>153</v>
      </c>
      <c r="G48" s="119">
        <v>43265</v>
      </c>
      <c r="H48" s="120">
        <v>5.04931506849315</v>
      </c>
      <c r="I48" s="133">
        <v>9.95068493150685</v>
      </c>
      <c r="J48" s="134">
        <v>43210</v>
      </c>
      <c r="K48" s="134">
        <v>45401</v>
      </c>
      <c r="L48" s="134">
        <f t="shared" si="8"/>
        <v>45382</v>
      </c>
      <c r="M48" s="135">
        <f t="shared" si="9"/>
        <v>0.0520547945205479</v>
      </c>
      <c r="N48" s="141">
        <v>0.624657534246575</v>
      </c>
      <c r="O48" s="137">
        <v>1</v>
      </c>
      <c r="P48" s="138">
        <v>106776.068376068</v>
      </c>
      <c r="Q48" s="148">
        <v>0.485542</v>
      </c>
      <c r="R48" s="138">
        <v>51844.265791453</v>
      </c>
      <c r="S48" s="138">
        <v>106776.068376068</v>
      </c>
      <c r="T48" s="148">
        <v>0.483512789553779</v>
      </c>
      <c r="U48" s="138">
        <v>51627.5946780978</v>
      </c>
      <c r="V48" s="149">
        <f>车辆评估!Z48</f>
        <v>106776.068376068</v>
      </c>
      <c r="W48" s="148">
        <f>车辆评估!AA48</f>
        <v>0.613333333333333</v>
      </c>
      <c r="X48" s="149">
        <f t="shared" si="6"/>
        <v>65489.3219373219</v>
      </c>
      <c r="Y48" s="149">
        <f t="shared" si="10"/>
        <v>10453.6466666667</v>
      </c>
      <c r="Z48" s="149">
        <f t="shared" si="11"/>
        <v>871.137222222223</v>
      </c>
      <c r="AA48" s="149">
        <f t="shared" si="5"/>
        <v>871.137222222223</v>
      </c>
      <c r="AB48" s="149">
        <f t="shared" si="7"/>
        <v>66360.4591595441</v>
      </c>
      <c r="AC48" s="118"/>
      <c r="AD48" s="150"/>
      <c r="AE48" s="150"/>
      <c r="AF48" s="150"/>
    </row>
    <row r="49" spans="1:32">
      <c r="A49" s="114">
        <v>44</v>
      </c>
      <c r="B49" s="118" t="s">
        <v>74</v>
      </c>
      <c r="C49" s="118" t="s">
        <v>86</v>
      </c>
      <c r="D49" s="118" t="s">
        <v>76</v>
      </c>
      <c r="E49" s="114" t="s">
        <v>160</v>
      </c>
      <c r="F49" s="118" t="s">
        <v>153</v>
      </c>
      <c r="G49" s="119">
        <v>42865</v>
      </c>
      <c r="H49" s="120">
        <v>6.14520547945205</v>
      </c>
      <c r="I49" s="133">
        <v>8.85479452054794</v>
      </c>
      <c r="J49" s="134">
        <v>43210</v>
      </c>
      <c r="K49" s="134">
        <v>45401</v>
      </c>
      <c r="L49" s="134">
        <f t="shared" si="8"/>
        <v>45382</v>
      </c>
      <c r="M49" s="135">
        <f t="shared" si="9"/>
        <v>0.0520547945205479</v>
      </c>
      <c r="N49" s="141">
        <v>0.624657534246575</v>
      </c>
      <c r="O49" s="137">
        <v>1</v>
      </c>
      <c r="P49" s="138">
        <v>106776.068376068</v>
      </c>
      <c r="Q49" s="148">
        <v>0.533668</v>
      </c>
      <c r="R49" s="138">
        <v>56982.9708581197</v>
      </c>
      <c r="S49" s="138">
        <v>106776.068376068</v>
      </c>
      <c r="T49" s="148">
        <v>0.414336046711636</v>
      </c>
      <c r="U49" s="138">
        <v>44241.1740543515</v>
      </c>
      <c r="V49" s="149">
        <f>车辆评估!Z49</f>
        <v>106776.068376068</v>
      </c>
      <c r="W49" s="148">
        <f>车辆评估!AA49</f>
        <v>0.54027397260274</v>
      </c>
      <c r="X49" s="149">
        <f t="shared" si="6"/>
        <v>57688.3306404402</v>
      </c>
      <c r="Y49" s="149">
        <f t="shared" si="10"/>
        <v>10453.6466666667</v>
      </c>
      <c r="Z49" s="149">
        <f t="shared" si="11"/>
        <v>871.137222222223</v>
      </c>
      <c r="AA49" s="149">
        <f t="shared" si="5"/>
        <v>871.137222222223</v>
      </c>
      <c r="AB49" s="149">
        <f t="shared" si="7"/>
        <v>58559.4678626624</v>
      </c>
      <c r="AC49" s="118"/>
      <c r="AD49" s="150"/>
      <c r="AE49" s="150"/>
      <c r="AF49" s="150"/>
    </row>
    <row r="50" spans="1:32">
      <c r="A50" s="114">
        <v>45</v>
      </c>
      <c r="B50" s="118" t="s">
        <v>87</v>
      </c>
      <c r="C50" s="118" t="s">
        <v>88</v>
      </c>
      <c r="D50" s="118" t="s">
        <v>76</v>
      </c>
      <c r="E50" s="114" t="s">
        <v>163</v>
      </c>
      <c r="F50" s="118" t="s">
        <v>153</v>
      </c>
      <c r="G50" s="119">
        <v>41719</v>
      </c>
      <c r="H50" s="120">
        <v>9.28493150684931</v>
      </c>
      <c r="I50" s="133">
        <v>5.71506849315069</v>
      </c>
      <c r="J50" s="134">
        <v>45027</v>
      </c>
      <c r="K50" s="134">
        <v>46487</v>
      </c>
      <c r="L50" s="134">
        <f t="shared" si="8"/>
        <v>45382</v>
      </c>
      <c r="M50" s="135">
        <f t="shared" si="9"/>
        <v>3.02739726027397</v>
      </c>
      <c r="N50" s="141">
        <v>36.3287671232877</v>
      </c>
      <c r="O50" s="137">
        <v>37</v>
      </c>
      <c r="P50" s="138">
        <v>108947.008547009</v>
      </c>
      <c r="Q50" s="148">
        <v>0.45456</v>
      </c>
      <c r="R50" s="138">
        <v>49522.9522051282</v>
      </c>
      <c r="S50" s="138">
        <v>108947.008547009</v>
      </c>
      <c r="T50" s="148">
        <v>0.263587490043759</v>
      </c>
      <c r="U50" s="138">
        <v>28717.0685306819</v>
      </c>
      <c r="V50" s="149">
        <f>车辆评估!Z50</f>
        <v>108947.008547009</v>
      </c>
      <c r="W50" s="148">
        <f>车辆评估!AA50</f>
        <v>0.330958904109589</v>
      </c>
      <c r="X50" s="149">
        <f t="shared" si="6"/>
        <v>36056.982554736</v>
      </c>
      <c r="Y50" s="149">
        <f t="shared" si="10"/>
        <v>10453.6466666667</v>
      </c>
      <c r="Z50" s="149">
        <f t="shared" si="11"/>
        <v>871.137222222223</v>
      </c>
      <c r="AA50" s="149">
        <f t="shared" si="5"/>
        <v>32232.0772222223</v>
      </c>
      <c r="AB50" s="149">
        <f t="shared" si="7"/>
        <v>68289.0597769583</v>
      </c>
      <c r="AC50" s="118"/>
      <c r="AD50" s="150"/>
      <c r="AE50" s="150"/>
      <c r="AF50" s="150"/>
    </row>
    <row r="51" spans="1:32">
      <c r="A51" s="114">
        <v>46</v>
      </c>
      <c r="B51" s="118" t="s">
        <v>89</v>
      </c>
      <c r="C51" s="118" t="s">
        <v>90</v>
      </c>
      <c r="D51" s="118" t="s">
        <v>91</v>
      </c>
      <c r="E51" s="114" t="s">
        <v>154</v>
      </c>
      <c r="F51" s="118" t="s">
        <v>153</v>
      </c>
      <c r="G51" s="119">
        <v>41576</v>
      </c>
      <c r="H51" s="120">
        <v>9.67671232876712</v>
      </c>
      <c r="I51" s="133">
        <v>5.32328767123288</v>
      </c>
      <c r="J51" s="134">
        <v>43762</v>
      </c>
      <c r="K51" s="134">
        <v>45222</v>
      </c>
      <c r="L51" s="134">
        <f t="shared" si="8"/>
        <v>45382</v>
      </c>
      <c r="M51" s="135">
        <f t="shared" si="9"/>
        <v>-0.438356164383562</v>
      </c>
      <c r="N51" s="141"/>
      <c r="O51" s="137">
        <v>6</v>
      </c>
      <c r="P51" s="138">
        <v>87237.6068376068</v>
      </c>
      <c r="Q51" s="148">
        <v>0.894876</v>
      </c>
      <c r="R51" s="138">
        <v>78066.8406564103</v>
      </c>
      <c r="S51" s="138">
        <v>87237.6068376068</v>
      </c>
      <c r="T51" s="148">
        <v>0.248262615541132</v>
      </c>
      <c r="U51" s="138">
        <v>21657.8364470532</v>
      </c>
      <c r="V51" s="149">
        <f>车辆评估!Z51</f>
        <v>87237.6068376068</v>
      </c>
      <c r="W51" s="148">
        <f>车辆评估!AA51</f>
        <v>0.304840182648402</v>
      </c>
      <c r="X51" s="149">
        <f t="shared" si="6"/>
        <v>26593.5280021855</v>
      </c>
      <c r="Y51" s="149">
        <f>线路牌评估!T21</f>
        <v>6390.9754985755</v>
      </c>
      <c r="Z51" s="149">
        <f>Y51/12</f>
        <v>532.581291547958</v>
      </c>
      <c r="AA51" s="149">
        <f t="shared" si="5"/>
        <v>3195.48774928775</v>
      </c>
      <c r="AB51" s="149">
        <f t="shared" si="7"/>
        <v>29789.0157514732</v>
      </c>
      <c r="AC51" s="118"/>
      <c r="AD51" s="150"/>
      <c r="AE51" s="150"/>
      <c r="AF51" s="150"/>
    </row>
    <row r="52" spans="1:32">
      <c r="A52" s="114">
        <v>47</v>
      </c>
      <c r="B52" s="118" t="s">
        <v>92</v>
      </c>
      <c r="C52" s="118" t="s">
        <v>93</v>
      </c>
      <c r="D52" s="118" t="s">
        <v>94</v>
      </c>
      <c r="E52" s="114" t="s">
        <v>154</v>
      </c>
      <c r="F52" s="118" t="s">
        <v>153</v>
      </c>
      <c r="G52" s="119">
        <v>41835</v>
      </c>
      <c r="H52" s="120">
        <v>8.96712328767123</v>
      </c>
      <c r="I52" s="133">
        <v>6.03287671232877</v>
      </c>
      <c r="J52" s="134">
        <v>44043</v>
      </c>
      <c r="K52" s="134">
        <v>45503</v>
      </c>
      <c r="L52" s="134">
        <f t="shared" si="8"/>
        <v>45382</v>
      </c>
      <c r="M52" s="135">
        <f t="shared" si="9"/>
        <v>0.331506849315069</v>
      </c>
      <c r="N52" s="141" t="s">
        <v>162</v>
      </c>
      <c r="O52" s="142">
        <v>4</v>
      </c>
      <c r="P52" s="138">
        <v>98092.3076923077</v>
      </c>
      <c r="Q52" s="148">
        <v>0.272124</v>
      </c>
      <c r="R52" s="138">
        <v>26693.2711384615</v>
      </c>
      <c r="S52" s="138">
        <v>98092.3076923077</v>
      </c>
      <c r="T52" s="148">
        <v>0.275847364678962</v>
      </c>
      <c r="U52" s="138">
        <v>27058.5045722009</v>
      </c>
      <c r="V52" s="149">
        <f>车辆评估!Z52</f>
        <v>98092.3076923077</v>
      </c>
      <c r="W52" s="148">
        <f>车辆评估!AA52</f>
        <v>0.352146118721461</v>
      </c>
      <c r="X52" s="149">
        <f t="shared" si="6"/>
        <v>34542.8254302775</v>
      </c>
      <c r="Y52" s="149">
        <f>线路牌评估!T26</f>
        <v>6135.56410256409</v>
      </c>
      <c r="Z52" s="149">
        <f>Y52/12</f>
        <v>511.297008547008</v>
      </c>
      <c r="AA52" s="149">
        <f t="shared" si="5"/>
        <v>2045.18803418803</v>
      </c>
      <c r="AB52" s="149">
        <f t="shared" si="7"/>
        <v>36588.0134644655</v>
      </c>
      <c r="AC52" s="118"/>
      <c r="AD52" s="150"/>
      <c r="AE52" s="150"/>
      <c r="AF52" s="150"/>
    </row>
    <row r="53" spans="1:32">
      <c r="A53" s="121">
        <v>48</v>
      </c>
      <c r="B53" s="122" t="s">
        <v>95</v>
      </c>
      <c r="C53" s="122" t="s">
        <v>96</v>
      </c>
      <c r="D53" s="122" t="s">
        <v>97</v>
      </c>
      <c r="E53" s="121" t="s">
        <v>154</v>
      </c>
      <c r="F53" s="122" t="s">
        <v>153</v>
      </c>
      <c r="G53" s="123">
        <v>41791</v>
      </c>
      <c r="H53" s="124">
        <v>9.08767123287671</v>
      </c>
      <c r="I53" s="124">
        <v>5.91232876712329</v>
      </c>
      <c r="J53" s="143"/>
      <c r="K53" s="143"/>
      <c r="L53" s="143">
        <f t="shared" si="8"/>
        <v>45382</v>
      </c>
      <c r="M53" s="135">
        <f t="shared" si="9"/>
        <v>-124.334246575342</v>
      </c>
      <c r="N53" s="141"/>
      <c r="O53" s="136">
        <v>0</v>
      </c>
      <c r="P53" s="138">
        <v>98092.3076923077</v>
      </c>
      <c r="Q53" s="148">
        <v>0.406756821917808</v>
      </c>
      <c r="R53" s="138">
        <v>39899.7153315068</v>
      </c>
      <c r="S53" s="138">
        <v>98092.3076923077</v>
      </c>
      <c r="T53" s="148">
        <v>0.269717424277456</v>
      </c>
      <c r="U53" s="138">
        <v>26457.2045722009</v>
      </c>
      <c r="V53" s="149">
        <f>车辆评估!Z53</f>
        <v>98092.3076923077</v>
      </c>
      <c r="W53" s="148">
        <f>车辆评估!AA53</f>
        <v>0.344109589041096</v>
      </c>
      <c r="X53" s="149">
        <f t="shared" si="6"/>
        <v>33754.5036880927</v>
      </c>
      <c r="Y53" s="149">
        <f>线路牌评估!T30</f>
        <v>5031.86410256409</v>
      </c>
      <c r="Z53" s="158">
        <f>Y53/12</f>
        <v>419.322008547008</v>
      </c>
      <c r="AA53" s="158">
        <f t="shared" si="5"/>
        <v>0</v>
      </c>
      <c r="AB53" s="149">
        <f t="shared" si="7"/>
        <v>33754.5036880927</v>
      </c>
      <c r="AC53" s="118"/>
      <c r="AD53" s="150"/>
      <c r="AE53" s="150"/>
      <c r="AF53" s="150"/>
    </row>
    <row r="54" spans="1:32">
      <c r="A54" s="121">
        <v>49</v>
      </c>
      <c r="B54" s="122" t="s">
        <v>98</v>
      </c>
      <c r="C54" s="122" t="s">
        <v>99</v>
      </c>
      <c r="D54" s="122" t="s">
        <v>100</v>
      </c>
      <c r="E54" s="121" t="s">
        <v>159</v>
      </c>
      <c r="F54" s="122" t="s">
        <v>153</v>
      </c>
      <c r="G54" s="123">
        <v>41974</v>
      </c>
      <c r="H54" s="124">
        <v>8.58630136986301</v>
      </c>
      <c r="I54" s="124">
        <v>6.41369863013699</v>
      </c>
      <c r="J54" s="143"/>
      <c r="K54" s="143"/>
      <c r="L54" s="143">
        <f t="shared" si="8"/>
        <v>45382</v>
      </c>
      <c r="M54" s="135">
        <f t="shared" si="9"/>
        <v>-124.334246575342</v>
      </c>
      <c r="N54" s="141"/>
      <c r="O54" s="136">
        <v>0</v>
      </c>
      <c r="P54" s="138">
        <v>81810.2564102564</v>
      </c>
      <c r="Q54" s="148">
        <v>0.836516821917808</v>
      </c>
      <c r="R54" s="138">
        <v>68435.6556925887</v>
      </c>
      <c r="S54" s="138">
        <v>81810.2564102564</v>
      </c>
      <c r="T54" s="148">
        <v>0.28999336913169</v>
      </c>
      <c r="U54" s="138">
        <v>23724.4318859377</v>
      </c>
      <c r="V54" s="149">
        <f>车辆评估!Z54</f>
        <v>81810.2564102564</v>
      </c>
      <c r="W54" s="148">
        <f>车辆评估!AA54</f>
        <v>0.377534246575342</v>
      </c>
      <c r="X54" s="149">
        <f t="shared" si="6"/>
        <v>30886.1735159817</v>
      </c>
      <c r="Y54" s="149">
        <f>线路牌评估!T27</f>
        <v>5287.18119658119</v>
      </c>
      <c r="Z54" s="158">
        <f>Y54/12</f>
        <v>440.598433048433</v>
      </c>
      <c r="AA54" s="158">
        <f t="shared" si="5"/>
        <v>0</v>
      </c>
      <c r="AB54" s="149">
        <f t="shared" si="7"/>
        <v>30886.1735159817</v>
      </c>
      <c r="AC54" s="118"/>
      <c r="AD54" s="150"/>
      <c r="AE54" s="150"/>
      <c r="AF54" s="150"/>
    </row>
    <row r="55" spans="1:32">
      <c r="A55" s="114">
        <v>50</v>
      </c>
      <c r="B55" s="118" t="s">
        <v>101</v>
      </c>
      <c r="C55" s="118" t="s">
        <v>102</v>
      </c>
      <c r="D55" s="118" t="s">
        <v>103</v>
      </c>
      <c r="E55" s="114" t="s">
        <v>154</v>
      </c>
      <c r="F55" s="118" t="s">
        <v>153</v>
      </c>
      <c r="G55" s="119">
        <v>41809</v>
      </c>
      <c r="H55" s="120">
        <v>9.03835616438356</v>
      </c>
      <c r="I55" s="133">
        <v>5.96164383561644</v>
      </c>
      <c r="J55" s="134">
        <v>44043</v>
      </c>
      <c r="K55" s="134">
        <v>45503</v>
      </c>
      <c r="L55" s="134">
        <f t="shared" si="8"/>
        <v>45382</v>
      </c>
      <c r="M55" s="135">
        <f t="shared" si="9"/>
        <v>0.331506849315069</v>
      </c>
      <c r="N55" s="141">
        <v>3.97808219178082</v>
      </c>
      <c r="O55" s="137">
        <v>4</v>
      </c>
      <c r="P55" s="138">
        <v>98092.3076923077</v>
      </c>
      <c r="Q55" s="148">
        <v>0.409976109589041</v>
      </c>
      <c r="R55" s="138">
        <v>40215.5026883035</v>
      </c>
      <c r="S55" s="138">
        <v>98092.3076923077</v>
      </c>
      <c r="T55" s="148">
        <v>0.272782394478209</v>
      </c>
      <c r="U55" s="138">
        <v>26757.8545722009</v>
      </c>
      <c r="V55" s="149">
        <f>车辆评估!Z55</f>
        <v>98092.3076923077</v>
      </c>
      <c r="W55" s="148">
        <f>车辆评估!AA55</f>
        <v>0.347397260273973</v>
      </c>
      <c r="X55" s="149">
        <f t="shared" si="6"/>
        <v>34076.9989462592</v>
      </c>
      <c r="Y55" s="149">
        <f>线路牌评估!T28</f>
        <v>6725.60410256409</v>
      </c>
      <c r="Z55" s="159">
        <f>Y55/12</f>
        <v>560.467008547008</v>
      </c>
      <c r="AA55" s="149">
        <f t="shared" si="5"/>
        <v>2241.86803418803</v>
      </c>
      <c r="AB55" s="149">
        <f t="shared" si="7"/>
        <v>36318.8669804472</v>
      </c>
      <c r="AC55" s="118"/>
      <c r="AD55" s="150"/>
      <c r="AE55" s="150"/>
      <c r="AF55" s="150"/>
    </row>
    <row r="56" spans="1:32">
      <c r="A56" s="114">
        <v>51</v>
      </c>
      <c r="B56" s="122" t="s">
        <v>104</v>
      </c>
      <c r="C56" s="122" t="s">
        <v>105</v>
      </c>
      <c r="D56" s="122" t="s">
        <v>103</v>
      </c>
      <c r="E56" s="121" t="s">
        <v>154</v>
      </c>
      <c r="F56" s="122" t="s">
        <v>153</v>
      </c>
      <c r="G56" s="123">
        <v>41822</v>
      </c>
      <c r="H56" s="124">
        <v>9.0027397260274</v>
      </c>
      <c r="I56" s="124">
        <v>5.9972602739726</v>
      </c>
      <c r="J56" s="143"/>
      <c r="K56" s="143"/>
      <c r="L56" s="143">
        <f t="shared" si="8"/>
        <v>45382</v>
      </c>
      <c r="M56" s="135">
        <f t="shared" si="9"/>
        <v>-124.334246575342</v>
      </c>
      <c r="N56" s="141"/>
      <c r="O56" s="138">
        <v>9</v>
      </c>
      <c r="P56" s="138">
        <v>98092.3076923077</v>
      </c>
      <c r="Q56" s="148">
        <v>0.542861150684932</v>
      </c>
      <c r="R56" s="138">
        <v>53250.5030271865</v>
      </c>
      <c r="S56" s="138">
        <v>98092.3076923077</v>
      </c>
      <c r="T56" s="148">
        <v>0.275847364678962</v>
      </c>
      <c r="U56" s="138">
        <v>27058.5045722009</v>
      </c>
      <c r="V56" s="149">
        <f>车辆评估!Z56</f>
        <v>98092.3076923077</v>
      </c>
      <c r="W56" s="148">
        <f>车辆评估!AA56</f>
        <v>0.349771689497717</v>
      </c>
      <c r="X56" s="149">
        <f t="shared" si="6"/>
        <v>34309.9121882684</v>
      </c>
      <c r="Y56" s="149">
        <f>Y55</f>
        <v>6725.60410256409</v>
      </c>
      <c r="Z56" s="158">
        <f>Z55</f>
        <v>560.467008547008</v>
      </c>
      <c r="AA56" s="158">
        <f t="shared" si="5"/>
        <v>5044.20307692307</v>
      </c>
      <c r="AB56" s="149">
        <f t="shared" si="7"/>
        <v>39354.1152651915</v>
      </c>
      <c r="AC56" s="118"/>
      <c r="AD56" s="150"/>
      <c r="AE56" s="150"/>
      <c r="AF56" s="150"/>
    </row>
    <row r="57" spans="1:32">
      <c r="A57" s="114">
        <v>52</v>
      </c>
      <c r="B57" s="118" t="s">
        <v>101</v>
      </c>
      <c r="C57" s="118" t="s">
        <v>106</v>
      </c>
      <c r="D57" s="118" t="s">
        <v>107</v>
      </c>
      <c r="E57" s="114" t="s">
        <v>154</v>
      </c>
      <c r="F57" s="118" t="s">
        <v>153</v>
      </c>
      <c r="G57" s="119">
        <v>41809</v>
      </c>
      <c r="H57" s="120">
        <v>9.03835616438356</v>
      </c>
      <c r="I57" s="133">
        <v>5.96164383561644</v>
      </c>
      <c r="J57" s="134">
        <v>44043</v>
      </c>
      <c r="K57" s="134">
        <v>45503</v>
      </c>
      <c r="L57" s="134">
        <f t="shared" si="8"/>
        <v>45382</v>
      </c>
      <c r="M57" s="135">
        <f t="shared" si="9"/>
        <v>0.331506849315069</v>
      </c>
      <c r="N57" s="141">
        <v>3.97808219178082</v>
      </c>
      <c r="O57" s="137">
        <v>4</v>
      </c>
      <c r="P57" s="138">
        <v>98092.3076923077</v>
      </c>
      <c r="Q57" s="148">
        <v>0.815617534246575</v>
      </c>
      <c r="R57" s="138">
        <v>80005.8061285564</v>
      </c>
      <c r="S57" s="138">
        <v>98092.3076923077</v>
      </c>
      <c r="T57" s="148">
        <v>0.272782394478209</v>
      </c>
      <c r="U57" s="138">
        <v>26757.8545722009</v>
      </c>
      <c r="V57" s="149">
        <f>车辆评估!Z57</f>
        <v>98092.3076923077</v>
      </c>
      <c r="W57" s="148">
        <f>车辆评估!AA57</f>
        <v>0.347397260273973</v>
      </c>
      <c r="X57" s="149">
        <f t="shared" si="6"/>
        <v>34076.9989462592</v>
      </c>
      <c r="Y57" s="149">
        <f>线路牌评估!T29</f>
        <v>7862.53210256411</v>
      </c>
      <c r="Z57" s="149">
        <f>Y57/12</f>
        <v>655.211008547009</v>
      </c>
      <c r="AA57" s="149">
        <f t="shared" si="5"/>
        <v>2620.84403418804</v>
      </c>
      <c r="AB57" s="149">
        <f t="shared" si="7"/>
        <v>36697.8429804472</v>
      </c>
      <c r="AC57" s="118"/>
      <c r="AD57" s="150"/>
      <c r="AE57" s="150"/>
      <c r="AF57" s="150"/>
    </row>
    <row r="58" spans="1:32">
      <c r="A58" s="114">
        <v>53</v>
      </c>
      <c r="B58" s="118" t="s">
        <v>108</v>
      </c>
      <c r="C58" s="118" t="s">
        <v>109</v>
      </c>
      <c r="D58" s="118" t="s">
        <v>110</v>
      </c>
      <c r="E58" s="114" t="s">
        <v>154</v>
      </c>
      <c r="F58" s="118" t="s">
        <v>153</v>
      </c>
      <c r="G58" s="119">
        <v>41625</v>
      </c>
      <c r="H58" s="120">
        <v>9.54246575342466</v>
      </c>
      <c r="I58" s="133">
        <v>5.45753424657534</v>
      </c>
      <c r="J58" s="134">
        <v>43823</v>
      </c>
      <c r="K58" s="134">
        <v>45283</v>
      </c>
      <c r="L58" s="134">
        <f t="shared" si="8"/>
        <v>45382</v>
      </c>
      <c r="M58" s="135">
        <f t="shared" si="9"/>
        <v>-0.271232876712329</v>
      </c>
      <c r="N58" s="141"/>
      <c r="O58" s="137">
        <v>4</v>
      </c>
      <c r="P58" s="138">
        <v>98092.3076923077</v>
      </c>
      <c r="Q58" s="148">
        <v>0.0136907397260274</v>
      </c>
      <c r="R58" s="138">
        <v>1342.95625374078</v>
      </c>
      <c r="S58" s="138">
        <v>98092.3076923077</v>
      </c>
      <c r="T58" s="148">
        <v>0.254392573273692</v>
      </c>
      <c r="U58" s="138">
        <v>24953.9545722009</v>
      </c>
      <c r="V58" s="149">
        <f>车辆评估!Z58</f>
        <v>98092.3076923077</v>
      </c>
      <c r="W58" s="148">
        <f>车辆评估!AA58</f>
        <v>0.3137899543379</v>
      </c>
      <c r="X58" s="149">
        <f t="shared" si="6"/>
        <v>30780.3807516684</v>
      </c>
      <c r="Y58" s="149">
        <f>线路牌评估!T23</f>
        <v>8431.16570256409</v>
      </c>
      <c r="Z58" s="149">
        <f>Y58/12</f>
        <v>702.59714188034</v>
      </c>
      <c r="AA58" s="149">
        <f t="shared" si="5"/>
        <v>2810.38856752136</v>
      </c>
      <c r="AB58" s="149">
        <f t="shared" si="7"/>
        <v>33590.7693191898</v>
      </c>
      <c r="AC58" s="118"/>
      <c r="AD58" s="150"/>
      <c r="AE58" s="150"/>
      <c r="AF58" s="150"/>
    </row>
    <row r="59" spans="1:32">
      <c r="A59" s="114">
        <v>54</v>
      </c>
      <c r="B59" s="118" t="s">
        <v>111</v>
      </c>
      <c r="C59" s="118" t="s">
        <v>112</v>
      </c>
      <c r="D59" s="118" t="s">
        <v>113</v>
      </c>
      <c r="E59" s="114" t="s">
        <v>154</v>
      </c>
      <c r="F59" s="118" t="s">
        <v>153</v>
      </c>
      <c r="G59" s="119">
        <v>41451</v>
      </c>
      <c r="H59" s="120">
        <v>10.0191780821918</v>
      </c>
      <c r="I59" s="133">
        <v>4.98082191780822</v>
      </c>
      <c r="J59" s="134">
        <v>43643</v>
      </c>
      <c r="K59" s="134">
        <v>45834</v>
      </c>
      <c r="L59" s="134">
        <f t="shared" si="8"/>
        <v>45382</v>
      </c>
      <c r="M59" s="135">
        <f t="shared" si="9"/>
        <v>1.23835616438356</v>
      </c>
      <c r="N59" s="141">
        <v>14.8602739726027</v>
      </c>
      <c r="O59" s="137">
        <v>15</v>
      </c>
      <c r="P59" s="138">
        <v>98092.3076923077</v>
      </c>
      <c r="Q59" s="148">
        <v>0.710868</v>
      </c>
      <c r="R59" s="138">
        <v>69730.6825846154</v>
      </c>
      <c r="S59" s="138">
        <v>98092.3076923077</v>
      </c>
      <c r="T59" s="148">
        <v>0.236411408547781</v>
      </c>
      <c r="U59" s="138">
        <v>23190.1406292408</v>
      </c>
      <c r="V59" s="149">
        <f>车辆评估!Z59</f>
        <v>98092.3076923077</v>
      </c>
      <c r="W59" s="148">
        <f>车辆评估!AA59</f>
        <v>0.282009132420091</v>
      </c>
      <c r="X59" s="149">
        <f t="shared" si="6"/>
        <v>27662.9265893923</v>
      </c>
      <c r="Y59" s="149">
        <f>线路牌评估!T22</f>
        <v>9635.40010256408</v>
      </c>
      <c r="Z59" s="149">
        <f>Y59/12</f>
        <v>802.950008547007</v>
      </c>
      <c r="AA59" s="149">
        <f t="shared" si="5"/>
        <v>12044.2501282051</v>
      </c>
      <c r="AB59" s="149">
        <f t="shared" si="7"/>
        <v>39707.1767175974</v>
      </c>
      <c r="AC59" s="118"/>
      <c r="AD59" s="150"/>
      <c r="AE59" s="150"/>
      <c r="AF59" s="150"/>
    </row>
    <row r="60" spans="1:32">
      <c r="A60" s="114">
        <v>55</v>
      </c>
      <c r="B60" s="118" t="s">
        <v>111</v>
      </c>
      <c r="C60" s="118" t="s">
        <v>114</v>
      </c>
      <c r="D60" s="118" t="s">
        <v>113</v>
      </c>
      <c r="E60" s="114" t="s">
        <v>154</v>
      </c>
      <c r="F60" s="118" t="s">
        <v>153</v>
      </c>
      <c r="G60" s="119">
        <v>41451</v>
      </c>
      <c r="H60" s="120">
        <v>10.0191780821918</v>
      </c>
      <c r="I60" s="133">
        <v>4.98082191780822</v>
      </c>
      <c r="J60" s="134">
        <v>43643</v>
      </c>
      <c r="K60" s="134">
        <v>45834</v>
      </c>
      <c r="L60" s="134">
        <f t="shared" si="8"/>
        <v>45382</v>
      </c>
      <c r="M60" s="135">
        <f t="shared" si="9"/>
        <v>1.23835616438356</v>
      </c>
      <c r="N60" s="141">
        <v>14.8602739726027</v>
      </c>
      <c r="O60" s="137">
        <v>15</v>
      </c>
      <c r="P60" s="138">
        <v>98092.3076923077</v>
      </c>
      <c r="Q60" s="148">
        <v>0.664034</v>
      </c>
      <c r="R60" s="138">
        <v>65136.6274461538</v>
      </c>
      <c r="S60" s="138">
        <v>98092.3076923077</v>
      </c>
      <c r="T60" s="148">
        <v>0.236411408547781</v>
      </c>
      <c r="U60" s="138">
        <v>23190.1406292408</v>
      </c>
      <c r="V60" s="149">
        <f>车辆评估!Z60</f>
        <v>98092.3076923077</v>
      </c>
      <c r="W60" s="148">
        <f>车辆评估!AA60</f>
        <v>0.282009132420091</v>
      </c>
      <c r="X60" s="149">
        <f t="shared" si="6"/>
        <v>27662.9265893923</v>
      </c>
      <c r="Y60" s="149">
        <f>Y59</f>
        <v>9635.40010256408</v>
      </c>
      <c r="Z60" s="149">
        <f>Z59</f>
        <v>802.950008547007</v>
      </c>
      <c r="AA60" s="149">
        <f t="shared" si="5"/>
        <v>12044.2501282051</v>
      </c>
      <c r="AB60" s="149">
        <f t="shared" si="7"/>
        <v>39707.1767175974</v>
      </c>
      <c r="AC60" s="118"/>
      <c r="AD60" s="150"/>
      <c r="AE60" s="150"/>
      <c r="AF60" s="150"/>
    </row>
    <row r="61" spans="1:32">
      <c r="A61" s="114">
        <v>56</v>
      </c>
      <c r="B61" s="118" t="s">
        <v>111</v>
      </c>
      <c r="C61" s="118" t="s">
        <v>115</v>
      </c>
      <c r="D61" s="118" t="s">
        <v>116</v>
      </c>
      <c r="E61" s="114" t="s">
        <v>154</v>
      </c>
      <c r="F61" s="118" t="s">
        <v>153</v>
      </c>
      <c r="G61" s="119">
        <v>41997</v>
      </c>
      <c r="H61" s="120">
        <v>8.52328767123288</v>
      </c>
      <c r="I61" s="133">
        <v>6.47671232876712</v>
      </c>
      <c r="J61" s="134">
        <v>44189</v>
      </c>
      <c r="K61" s="134">
        <v>45649</v>
      </c>
      <c r="L61" s="134">
        <f t="shared" si="8"/>
        <v>45382</v>
      </c>
      <c r="M61" s="135">
        <f t="shared" si="9"/>
        <v>0.731506849315068</v>
      </c>
      <c r="N61" s="141">
        <v>8.77808219178082</v>
      </c>
      <c r="O61" s="137">
        <v>9</v>
      </c>
      <c r="P61" s="138">
        <v>98092.3076923077</v>
      </c>
      <c r="Q61" s="148">
        <v>0.721799890410959</v>
      </c>
      <c r="R61" s="138">
        <v>70803.0169424658</v>
      </c>
      <c r="S61" s="138">
        <v>98092.3076923077</v>
      </c>
      <c r="T61" s="148">
        <v>0.293529869366646</v>
      </c>
      <c r="U61" s="138">
        <v>28793.0222627959</v>
      </c>
      <c r="V61" s="149">
        <f>车辆评估!Z61</f>
        <v>98092.3076923077</v>
      </c>
      <c r="W61" s="148">
        <f>车辆评估!AA61</f>
        <v>0.381735159817352</v>
      </c>
      <c r="X61" s="149">
        <f t="shared" si="6"/>
        <v>37445.2827537759</v>
      </c>
      <c r="Y61" s="149">
        <f>线路牌评估!T24</f>
        <v>8108.40410256409</v>
      </c>
      <c r="Z61" s="149">
        <f>Y61/12</f>
        <v>675.700341880341</v>
      </c>
      <c r="AA61" s="149">
        <f t="shared" si="5"/>
        <v>6081.30307692307</v>
      </c>
      <c r="AB61" s="149">
        <f t="shared" si="7"/>
        <v>43526.585830699</v>
      </c>
      <c r="AC61" s="118"/>
      <c r="AD61" s="150"/>
      <c r="AE61" s="150"/>
      <c r="AF61" s="150"/>
    </row>
    <row r="62" spans="1:32">
      <c r="A62" s="114">
        <v>57</v>
      </c>
      <c r="B62" s="118" t="s">
        <v>117</v>
      </c>
      <c r="C62" s="118" t="s">
        <v>118</v>
      </c>
      <c r="D62" s="118" t="s">
        <v>119</v>
      </c>
      <c r="E62" s="114" t="s">
        <v>156</v>
      </c>
      <c r="F62" s="118" t="s">
        <v>153</v>
      </c>
      <c r="G62" s="119">
        <v>42395</v>
      </c>
      <c r="H62" s="120">
        <v>7.43287671232877</v>
      </c>
      <c r="I62" s="133">
        <v>7.56712328767123</v>
      </c>
      <c r="J62" s="134">
        <v>44598</v>
      </c>
      <c r="K62" s="134">
        <v>46058</v>
      </c>
      <c r="L62" s="134">
        <f t="shared" si="8"/>
        <v>45382</v>
      </c>
      <c r="M62" s="135">
        <f t="shared" si="9"/>
        <v>1.85205479452055</v>
      </c>
      <c r="N62" s="141">
        <v>22.2246575342466</v>
      </c>
      <c r="O62" s="137">
        <v>23</v>
      </c>
      <c r="P62" s="138">
        <v>98092.3076923077</v>
      </c>
      <c r="Q62" s="148">
        <v>0.485978</v>
      </c>
      <c r="R62" s="138">
        <v>47670.7035076923</v>
      </c>
      <c r="S62" s="138">
        <v>98092.3076923077</v>
      </c>
      <c r="T62" s="148">
        <v>0.342768939336527</v>
      </c>
      <c r="U62" s="138">
        <v>33622.9962647645</v>
      </c>
      <c r="V62" s="149">
        <f>车辆评估!Z62</f>
        <v>98092.3076923077</v>
      </c>
      <c r="W62" s="148">
        <f>车辆评估!AA62</f>
        <v>0.454429223744292</v>
      </c>
      <c r="X62" s="149">
        <f t="shared" si="6"/>
        <v>44576.0112399017</v>
      </c>
      <c r="Y62" s="149">
        <f>线路牌评估!T25</f>
        <v>7126.7641025641</v>
      </c>
      <c r="Z62" s="149">
        <f>Y62/12</f>
        <v>593.897008547008</v>
      </c>
      <c r="AA62" s="149">
        <f t="shared" si="5"/>
        <v>13659.6311965812</v>
      </c>
      <c r="AB62" s="149">
        <f t="shared" si="7"/>
        <v>58235.6424364829</v>
      </c>
      <c r="AC62" s="118"/>
      <c r="AD62" s="150"/>
      <c r="AE62" s="150"/>
      <c r="AF62" s="150"/>
    </row>
    <row r="63" spans="1:32">
      <c r="A63" s="114">
        <v>58</v>
      </c>
      <c r="B63" s="118" t="s">
        <v>120</v>
      </c>
      <c r="C63" s="118" t="s">
        <v>121</v>
      </c>
      <c r="D63" s="118" t="s">
        <v>122</v>
      </c>
      <c r="E63" s="114" t="s">
        <v>157</v>
      </c>
      <c r="F63" s="118" t="s">
        <v>151</v>
      </c>
      <c r="G63" s="119">
        <v>42683</v>
      </c>
      <c r="H63" s="120">
        <v>6.64383561643836</v>
      </c>
      <c r="I63" s="133">
        <v>8.35616438356164</v>
      </c>
      <c r="J63" s="134">
        <v>44790</v>
      </c>
      <c r="K63" s="134">
        <v>46250</v>
      </c>
      <c r="L63" s="134">
        <f t="shared" si="8"/>
        <v>45382</v>
      </c>
      <c r="M63" s="135">
        <f t="shared" si="9"/>
        <v>2.37808219178082</v>
      </c>
      <c r="N63" s="141">
        <v>28.5369863013699</v>
      </c>
      <c r="O63" s="137">
        <v>29</v>
      </c>
      <c r="P63" s="138">
        <v>217494.017094017</v>
      </c>
      <c r="Q63" s="148">
        <v>0.73834</v>
      </c>
      <c r="R63" s="138">
        <v>160584.532581197</v>
      </c>
      <c r="S63" s="138">
        <v>217494.017094017</v>
      </c>
      <c r="T63" s="148">
        <v>0.386085873291023</v>
      </c>
      <c r="U63" s="138">
        <v>83971.3675253163</v>
      </c>
      <c r="V63" s="149">
        <f>车辆评估!Z63</f>
        <v>217494.017094017</v>
      </c>
      <c r="W63" s="148">
        <f>车辆评估!AA63</f>
        <v>0.50703196347032</v>
      </c>
      <c r="X63" s="149">
        <f t="shared" si="6"/>
        <v>110276.418530227</v>
      </c>
      <c r="Y63" s="149">
        <f>线路牌评估!T9</f>
        <v>10751.0313390313</v>
      </c>
      <c r="Z63" s="149">
        <f>Y63/12</f>
        <v>895.919278252609</v>
      </c>
      <c r="AA63" s="149">
        <f t="shared" si="5"/>
        <v>25981.6590693257</v>
      </c>
      <c r="AB63" s="149">
        <f t="shared" si="7"/>
        <v>136258.077599553</v>
      </c>
      <c r="AC63" s="118"/>
      <c r="AD63" s="150"/>
      <c r="AE63" s="150"/>
      <c r="AF63" s="150"/>
    </row>
    <row r="64" spans="1:32">
      <c r="A64" s="114">
        <v>59</v>
      </c>
      <c r="B64" s="118" t="s">
        <v>123</v>
      </c>
      <c r="C64" s="118" t="s">
        <v>124</v>
      </c>
      <c r="D64" s="118" t="s">
        <v>122</v>
      </c>
      <c r="E64" s="114" t="s">
        <v>150</v>
      </c>
      <c r="F64" s="118" t="s">
        <v>151</v>
      </c>
      <c r="G64" s="119">
        <v>41649</v>
      </c>
      <c r="H64" s="120">
        <v>9.47671232876712</v>
      </c>
      <c r="I64" s="133">
        <v>5.52328767123288</v>
      </c>
      <c r="J64" s="134">
        <v>43845</v>
      </c>
      <c r="K64" s="134">
        <v>45305</v>
      </c>
      <c r="L64" s="134">
        <f t="shared" si="8"/>
        <v>45382</v>
      </c>
      <c r="M64" s="135">
        <f t="shared" si="9"/>
        <v>-0.210958904109589</v>
      </c>
      <c r="N64" s="141"/>
      <c r="O64" s="137">
        <v>3</v>
      </c>
      <c r="P64" s="138">
        <v>231605.128205128</v>
      </c>
      <c r="Q64" s="148">
        <v>0.957255</v>
      </c>
      <c r="R64" s="138">
        <v>221705.167</v>
      </c>
      <c r="S64" s="138">
        <v>231605.128205128</v>
      </c>
      <c r="T64" s="148">
        <v>0.257457530079843</v>
      </c>
      <c r="U64" s="138">
        <v>59628.4842615177</v>
      </c>
      <c r="V64" s="149">
        <f>车辆评估!Z64</f>
        <v>231605.128205128</v>
      </c>
      <c r="W64" s="148">
        <f>车辆评估!AA64</f>
        <v>0.318173515981735</v>
      </c>
      <c r="X64" s="149">
        <f t="shared" si="6"/>
        <v>73690.6179604262</v>
      </c>
      <c r="Y64" s="149">
        <f>Y63</f>
        <v>10751.0313390313</v>
      </c>
      <c r="Z64" s="149">
        <f>Z63</f>
        <v>895.919278252609</v>
      </c>
      <c r="AA64" s="149">
        <f t="shared" si="5"/>
        <v>2687.75783475783</v>
      </c>
      <c r="AB64" s="149">
        <f t="shared" si="7"/>
        <v>76378.375795184</v>
      </c>
      <c r="AC64" s="118"/>
      <c r="AD64" s="150"/>
      <c r="AE64" s="150"/>
      <c r="AF64" s="150"/>
    </row>
    <row r="65" spans="1:32">
      <c r="A65" s="121">
        <v>60</v>
      </c>
      <c r="B65" s="122" t="s">
        <v>125</v>
      </c>
      <c r="C65" s="122" t="s">
        <v>126</v>
      </c>
      <c r="D65" s="122" t="s">
        <v>127</v>
      </c>
      <c r="E65" s="121"/>
      <c r="F65" s="122" t="s">
        <v>153</v>
      </c>
      <c r="G65" s="160"/>
      <c r="H65" s="160"/>
      <c r="I65" s="160"/>
      <c r="J65" s="160"/>
      <c r="K65" s="143"/>
      <c r="L65" s="143"/>
      <c r="M65" s="164"/>
      <c r="N65" s="165"/>
      <c r="O65" s="138">
        <v>0</v>
      </c>
      <c r="P65" s="138"/>
      <c r="Q65" s="114"/>
      <c r="R65" s="118"/>
      <c r="S65" s="138"/>
      <c r="T65" s="148"/>
      <c r="U65" s="138"/>
      <c r="V65" s="138"/>
      <c r="W65" s="148"/>
      <c r="X65" s="138"/>
      <c r="Y65" s="149">
        <f>线路牌评估!T20</f>
        <v>5485.49587020652</v>
      </c>
      <c r="Z65" s="158">
        <f>Y65/12</f>
        <v>457.124655850543</v>
      </c>
      <c r="AA65" s="149">
        <f t="shared" si="5"/>
        <v>0</v>
      </c>
      <c r="AB65" s="149">
        <f t="shared" si="7"/>
        <v>0</v>
      </c>
      <c r="AC65" s="118"/>
      <c r="AD65" s="150"/>
      <c r="AE65" s="150"/>
      <c r="AF65" s="150"/>
    </row>
    <row r="66" spans="1:32">
      <c r="A66" s="121">
        <v>61</v>
      </c>
      <c r="B66" s="122" t="s">
        <v>125</v>
      </c>
      <c r="C66" s="122" t="s">
        <v>128</v>
      </c>
      <c r="D66" s="122" t="s">
        <v>127</v>
      </c>
      <c r="E66" s="121"/>
      <c r="F66" s="122" t="s">
        <v>153</v>
      </c>
      <c r="G66" s="160"/>
      <c r="H66" s="160"/>
      <c r="I66" s="160"/>
      <c r="J66" s="160"/>
      <c r="K66" s="143"/>
      <c r="L66" s="143"/>
      <c r="M66" s="143"/>
      <c r="N66" s="165"/>
      <c r="O66" s="138">
        <v>0</v>
      </c>
      <c r="P66" s="138"/>
      <c r="Q66" s="114"/>
      <c r="R66" s="118"/>
      <c r="S66" s="138"/>
      <c r="T66" s="148"/>
      <c r="U66" s="138"/>
      <c r="V66" s="138"/>
      <c r="W66" s="148"/>
      <c r="X66" s="138"/>
      <c r="Y66" s="149">
        <f>Y65</f>
        <v>5485.49587020652</v>
      </c>
      <c r="Z66" s="158">
        <f>Z65</f>
        <v>457.124655850543</v>
      </c>
      <c r="AA66" s="149">
        <f t="shared" si="5"/>
        <v>0</v>
      </c>
      <c r="AB66" s="149">
        <f t="shared" si="7"/>
        <v>0</v>
      </c>
      <c r="AC66" s="118"/>
      <c r="AD66" s="150"/>
      <c r="AE66" s="150"/>
      <c r="AF66" s="150"/>
    </row>
    <row r="67" spans="1:32">
      <c r="A67" s="121">
        <v>62</v>
      </c>
      <c r="B67" s="122" t="s">
        <v>125</v>
      </c>
      <c r="C67" s="122" t="s">
        <v>129</v>
      </c>
      <c r="D67" s="122" t="s">
        <v>127</v>
      </c>
      <c r="E67" s="121"/>
      <c r="F67" s="122" t="s">
        <v>153</v>
      </c>
      <c r="G67" s="160"/>
      <c r="H67" s="160"/>
      <c r="I67" s="160"/>
      <c r="J67" s="160"/>
      <c r="K67" s="143"/>
      <c r="L67" s="143"/>
      <c r="M67" s="143"/>
      <c r="N67" s="165"/>
      <c r="O67" s="138"/>
      <c r="P67" s="138"/>
      <c r="Q67" s="114"/>
      <c r="R67" s="118"/>
      <c r="S67" s="138"/>
      <c r="T67" s="148"/>
      <c r="U67" s="138"/>
      <c r="V67" s="138"/>
      <c r="W67" s="148"/>
      <c r="X67" s="138"/>
      <c r="Y67" s="149">
        <f>Y66</f>
        <v>5485.49587020652</v>
      </c>
      <c r="Z67" s="158">
        <f>Z65</f>
        <v>457.124655850543</v>
      </c>
      <c r="AA67" s="149">
        <f t="shared" si="5"/>
        <v>0</v>
      </c>
      <c r="AB67" s="149">
        <f t="shared" si="7"/>
        <v>0</v>
      </c>
      <c r="AC67" s="118"/>
      <c r="AD67" s="150"/>
      <c r="AE67" s="150"/>
      <c r="AF67" s="150"/>
    </row>
    <row r="68" spans="1:32">
      <c r="A68" s="114"/>
      <c r="B68" s="118" t="s">
        <v>130</v>
      </c>
      <c r="C68" s="118"/>
      <c r="D68" s="118"/>
      <c r="E68" s="114"/>
      <c r="F68" s="118"/>
      <c r="G68" s="161"/>
      <c r="H68" s="162"/>
      <c r="I68" s="161"/>
      <c r="J68" s="161"/>
      <c r="K68" s="161"/>
      <c r="L68" s="161"/>
      <c r="M68" s="161"/>
      <c r="N68" s="141">
        <f>SUM(N6:N67)</f>
        <v>726.312688075455</v>
      </c>
      <c r="O68" s="166"/>
      <c r="P68" s="166">
        <f t="shared" ref="O68:V68" si="12">SUM(P6:P67)</f>
        <v>8184164.10256411</v>
      </c>
      <c r="Q68" s="166">
        <f t="shared" si="12"/>
        <v>28.8335362018265</v>
      </c>
      <c r="R68" s="166">
        <f t="shared" si="12"/>
        <v>3870214.55824247</v>
      </c>
      <c r="S68" s="166">
        <f t="shared" si="12"/>
        <v>8184164.10256411</v>
      </c>
      <c r="T68" s="166">
        <f t="shared" si="12"/>
        <v>16.730128550075</v>
      </c>
      <c r="U68" s="166">
        <f t="shared" si="12"/>
        <v>2487604.35410099</v>
      </c>
      <c r="V68" s="166">
        <f t="shared" si="12"/>
        <v>8184164.10256411</v>
      </c>
      <c r="W68" s="167"/>
      <c r="X68" s="168">
        <f>SUM(X6:X67)</f>
        <v>3044146.79155446</v>
      </c>
      <c r="Y68" s="172"/>
      <c r="Z68" s="172"/>
      <c r="AA68" s="168">
        <f>SUM(AA6:AA67)</f>
        <v>666670.42961009</v>
      </c>
      <c r="AB68" s="173">
        <f>SUM(AB6:AB67)</f>
        <v>3710817.22116455</v>
      </c>
      <c r="AC68" s="118"/>
      <c r="AD68" s="150"/>
      <c r="AE68" s="150"/>
      <c r="AF68" s="150"/>
    </row>
    <row r="69" spans="1:32">
      <c r="A69" s="110" t="s">
        <v>164</v>
      </c>
      <c r="B69" s="112"/>
      <c r="C69" s="112"/>
      <c r="D69" s="112"/>
      <c r="E69" s="109"/>
      <c r="F69" s="112"/>
      <c r="G69" s="110"/>
      <c r="H69" s="111"/>
      <c r="I69" s="110"/>
      <c r="K69" s="110"/>
      <c r="L69" s="110"/>
      <c r="M69" s="110"/>
      <c r="N69" s="110" t="s">
        <v>165</v>
      </c>
      <c r="O69" s="112"/>
      <c r="P69" s="112"/>
      <c r="Q69" s="109" t="s">
        <v>165</v>
      </c>
      <c r="R69" s="112"/>
      <c r="S69" s="112"/>
      <c r="T69" s="109"/>
      <c r="U69" s="112"/>
      <c r="V69" s="112"/>
      <c r="W69" s="109"/>
      <c r="X69" s="112"/>
      <c r="Y69" s="112"/>
      <c r="Z69" s="112"/>
      <c r="AA69" s="112"/>
      <c r="AB69" s="112"/>
      <c r="AC69" s="151" t="s">
        <v>166</v>
      </c>
      <c r="AD69" s="150"/>
      <c r="AE69" s="150"/>
      <c r="AF69" s="150"/>
    </row>
    <row r="70" spans="6:27">
      <c r="F70" s="1"/>
      <c r="G70" s="2"/>
      <c r="AA70" s="174"/>
    </row>
    <row r="71" spans="6:25">
      <c r="F71" s="1"/>
      <c r="G71" s="3"/>
      <c r="Q71" s="169"/>
      <c r="R71" s="150"/>
      <c r="S71" s="150"/>
      <c r="T71" s="170"/>
      <c r="U71" s="171"/>
      <c r="V71" s="150"/>
      <c r="X71" s="1"/>
      <c r="Y71" s="103"/>
    </row>
    <row r="72" spans="6:25">
      <c r="F72" s="1"/>
      <c r="G72" s="3"/>
      <c r="Q72" s="169"/>
      <c r="R72" s="150"/>
      <c r="S72" s="150"/>
      <c r="T72" s="170"/>
      <c r="U72" s="171"/>
      <c r="V72" s="150"/>
      <c r="X72" s="1"/>
      <c r="Y72" s="103"/>
    </row>
    <row r="73" spans="6:25">
      <c r="F73" s="1"/>
      <c r="G73" s="3"/>
      <c r="Q73" s="169"/>
      <c r="R73" s="150"/>
      <c r="S73" s="150"/>
      <c r="T73" s="170"/>
      <c r="U73" s="171"/>
      <c r="V73" s="150"/>
      <c r="X73" s="1"/>
      <c r="Y73" s="103"/>
    </row>
    <row r="74" spans="6:24">
      <c r="F74" s="1"/>
      <c r="G74" s="3"/>
      <c r="R74" s="150"/>
      <c r="S74" s="150"/>
      <c r="T74" s="170"/>
      <c r="U74" s="150"/>
      <c r="V74" s="150"/>
      <c r="X74" s="1"/>
    </row>
    <row r="75" spans="6:24">
      <c r="F75" s="1"/>
      <c r="G75" s="163"/>
      <c r="R75" s="1"/>
      <c r="S75" s="2"/>
      <c r="T75" s="170"/>
      <c r="U75" s="150"/>
      <c r="V75" s="150"/>
      <c r="X75" s="1"/>
    </row>
    <row r="76" spans="6:24">
      <c r="F76" s="1"/>
      <c r="G76" s="163"/>
      <c r="R76" s="1"/>
      <c r="S76" s="3"/>
      <c r="T76" s="170"/>
      <c r="U76" s="150"/>
      <c r="V76" s="150"/>
      <c r="X76" s="1"/>
    </row>
    <row r="77" spans="6:22">
      <c r="F77" s="1"/>
      <c r="G77" s="163"/>
      <c r="R77" s="1"/>
      <c r="S77" s="3"/>
      <c r="T77" s="170"/>
      <c r="U77" s="150"/>
      <c r="V77" s="150"/>
    </row>
    <row r="78" spans="6:22">
      <c r="F78" s="1"/>
      <c r="G78" s="163"/>
      <c r="R78" s="1"/>
      <c r="S78" s="3"/>
      <c r="T78" s="170"/>
      <c r="U78" s="150"/>
      <c r="V78" s="150"/>
    </row>
    <row r="79" spans="18:19">
      <c r="R79" s="1"/>
      <c r="S79" s="3"/>
    </row>
    <row r="80" spans="18:19">
      <c r="R80" s="1"/>
      <c r="S80" s="3"/>
    </row>
    <row r="81" spans="18:19">
      <c r="R81" s="1"/>
      <c r="S81" s="3"/>
    </row>
    <row r="82" spans="18:19">
      <c r="R82" s="1"/>
      <c r="S82" s="1"/>
    </row>
    <row r="83" spans="18:19">
      <c r="R83" s="1"/>
      <c r="S83" s="1"/>
    </row>
  </sheetData>
  <mergeCells count="24">
    <mergeCell ref="A1:AC1"/>
    <mergeCell ref="A2:AC2"/>
    <mergeCell ref="P4:R4"/>
    <mergeCell ref="S4:U4"/>
    <mergeCell ref="V4:X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N4:N5"/>
    <mergeCell ref="O4:O5"/>
    <mergeCell ref="Y4:Y5"/>
    <mergeCell ref="Z4:Z5"/>
    <mergeCell ref="AA4:AA5"/>
    <mergeCell ref="AB4:AB5"/>
    <mergeCell ref="AC4:AC5"/>
  </mergeCells>
  <pageMargins left="0.75" right="0.75" top="1" bottom="1" header="0.5" footer="0.5"/>
  <headerFooter/>
  <ignoredErrors>
    <ignoredError sqref="Z14 Z56:Z66 Z34:Z39 Z33 Z19:Z32 Z8 Y19:Y30 Y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71"/>
  <sheetViews>
    <sheetView topLeftCell="E1" workbookViewId="0">
      <pane ySplit="5" topLeftCell="A51" activePane="bottomLeft" state="frozen"/>
      <selection/>
      <selection pane="bottomLeft" activeCell="AB68" sqref="AB68"/>
    </sheetView>
  </sheetViews>
  <sheetFormatPr defaultColWidth="9" defaultRowHeight="14.25"/>
  <cols>
    <col min="1" max="1" width="4.875" style="34" customWidth="1"/>
    <col min="2" max="2" width="7.75" style="32" customWidth="1"/>
    <col min="3" max="3" width="9" style="32"/>
    <col min="4" max="4" width="10.625" style="35" customWidth="1"/>
    <col min="5" max="5" width="8.375" style="34" customWidth="1"/>
    <col min="6" max="6" width="10.5" style="34" customWidth="1"/>
    <col min="7" max="7" width="9.125" style="35" customWidth="1"/>
    <col min="8" max="8" width="10.875" style="36" customWidth="1"/>
    <col min="9" max="9" width="11" style="32" customWidth="1"/>
    <col min="10" max="10" width="9.625" style="36"/>
    <col min="11" max="11" width="6.75" style="32" customWidth="1"/>
    <col min="12" max="12" width="9" style="32" customWidth="1"/>
    <col min="13" max="13" width="7.5" style="36" customWidth="1"/>
    <col min="14" max="14" width="10" style="37" customWidth="1"/>
    <col min="15" max="15" width="9.5" style="32" customWidth="1"/>
    <col min="16" max="17" width="9.5" style="35" customWidth="1"/>
    <col min="18" max="18" width="7.75" style="32" customWidth="1"/>
    <col min="19" max="19" width="7" style="32" customWidth="1"/>
    <col min="20" max="20" width="9.5" style="32" hidden="1" customWidth="1"/>
    <col min="21" max="21" width="6.875" style="36" hidden="1" customWidth="1"/>
    <col min="22" max="22" width="11" style="32" hidden="1" customWidth="1"/>
    <col min="23" max="23" width="11.75" style="32" hidden="1" customWidth="1"/>
    <col min="24" max="24" width="7.625" style="32" hidden="1" customWidth="1"/>
    <col min="25" max="25" width="11.75" style="36" hidden="1" customWidth="1"/>
    <col min="26" max="26" width="10.875" style="36" customWidth="1"/>
    <col min="27" max="27" width="6.75" style="36" customWidth="1"/>
    <col min="28" max="28" width="13.125" style="36" customWidth="1"/>
    <col min="29" max="29" width="7.375" style="32" customWidth="1"/>
    <col min="30" max="30" width="9" style="5" customWidth="1"/>
    <col min="31" max="31" width="7.125" style="5" customWidth="1"/>
    <col min="32" max="32" width="9" style="5" customWidth="1"/>
    <col min="33" max="33" width="10.25" style="5" customWidth="1"/>
    <col min="34" max="34" width="11.25" style="5" customWidth="1"/>
    <col min="35" max="35" width="8.5" style="5" customWidth="1"/>
    <col min="36" max="36" width="11.375" style="5" customWidth="1"/>
    <col min="37" max="38" width="11.25" style="5" customWidth="1"/>
    <col min="39" max="39" width="11.125" style="5" customWidth="1"/>
    <col min="40" max="40" width="11.75" style="5" customWidth="1"/>
    <col min="41" max="44" width="10.125" style="5" customWidth="1"/>
    <col min="45" max="46" width="9.5" style="5" customWidth="1"/>
    <col min="47" max="47" width="10" style="5" customWidth="1"/>
    <col min="48" max="48" width="9.25" style="5" customWidth="1"/>
    <col min="49" max="49" width="9" style="5" customWidth="1"/>
    <col min="50" max="50" width="11.125" style="5" customWidth="1"/>
    <col min="51" max="52" width="6.5" style="5" customWidth="1"/>
    <col min="53" max="53" width="11.375" style="5" customWidth="1"/>
    <col min="54" max="16384" width="9" style="32"/>
  </cols>
  <sheetData>
    <row r="1" ht="27" customHeight="1" spans="1:48">
      <c r="A1" s="7" t="s">
        <v>167</v>
      </c>
      <c r="B1" s="7"/>
      <c r="C1" s="7"/>
      <c r="D1" s="38"/>
      <c r="E1" s="7"/>
      <c r="F1" s="7"/>
      <c r="G1" s="38"/>
      <c r="H1" s="39"/>
      <c r="I1" s="7"/>
      <c r="J1" s="39"/>
      <c r="K1" s="7"/>
      <c r="L1" s="7"/>
      <c r="M1" s="39"/>
      <c r="N1" s="45"/>
      <c r="O1" s="7"/>
      <c r="P1" s="38"/>
      <c r="Q1" s="38"/>
      <c r="R1" s="7"/>
      <c r="S1" s="7"/>
      <c r="T1" s="7"/>
      <c r="U1" s="39"/>
      <c r="V1" s="7"/>
      <c r="W1" s="7"/>
      <c r="X1" s="7"/>
      <c r="Y1" s="39"/>
      <c r="Z1" s="39"/>
      <c r="AA1" s="39"/>
      <c r="AB1" s="39"/>
      <c r="AC1" s="7"/>
      <c r="AL1" s="72"/>
      <c r="AP1" s="72"/>
      <c r="AQ1" s="72"/>
      <c r="AR1" s="72"/>
      <c r="AS1" s="15"/>
      <c r="AT1" s="72"/>
      <c r="AU1" s="72"/>
      <c r="AV1" s="72"/>
    </row>
    <row r="2" s="32" customFormat="1" ht="20" customHeight="1" spans="1:53">
      <c r="A2" s="5" t="s">
        <v>1</v>
      </c>
      <c r="B2" s="5"/>
      <c r="C2" s="5"/>
      <c r="D2" s="5"/>
      <c r="E2" s="5"/>
      <c r="F2" s="5"/>
      <c r="G2" s="6"/>
      <c r="H2" s="18"/>
      <c r="I2" s="5"/>
      <c r="J2" s="18"/>
      <c r="K2" s="5"/>
      <c r="L2" s="5"/>
      <c r="M2" s="18"/>
      <c r="N2" s="46"/>
      <c r="O2" s="5"/>
      <c r="P2" s="6"/>
      <c r="Q2" s="6"/>
      <c r="R2" s="5"/>
      <c r="S2" s="5"/>
      <c r="T2" s="5"/>
      <c r="U2" s="18"/>
      <c r="V2" s="5"/>
      <c r="W2" s="5"/>
      <c r="X2" s="5"/>
      <c r="Y2" s="18"/>
      <c r="Z2" s="18"/>
      <c r="AA2" s="18"/>
      <c r="AB2" s="18"/>
      <c r="AC2" s="5"/>
      <c r="AD2" s="5"/>
      <c r="AE2" s="5"/>
      <c r="AF2" s="5"/>
      <c r="AG2" s="5"/>
      <c r="AH2" s="5"/>
      <c r="AI2" s="5"/>
      <c r="AJ2" s="5"/>
      <c r="AK2" s="4"/>
      <c r="AL2" s="4"/>
      <c r="AM2" s="4"/>
      <c r="AN2" s="15"/>
      <c r="AO2" s="4"/>
      <c r="AP2" s="31"/>
      <c r="AQ2" s="31"/>
      <c r="AR2" s="31"/>
      <c r="AS2" s="4"/>
      <c r="AT2" s="4"/>
      <c r="AU2" s="31"/>
      <c r="AV2" s="4">
        <f>0.59*12</f>
        <v>7.08</v>
      </c>
      <c r="AW2" s="4"/>
      <c r="AX2" s="4"/>
      <c r="AY2" s="4"/>
      <c r="AZ2" s="4"/>
      <c r="BA2" s="4"/>
    </row>
    <row r="3" ht="17" customHeight="1" spans="1:52">
      <c r="A3" s="6" t="s">
        <v>168</v>
      </c>
      <c r="B3" s="5"/>
      <c r="C3" s="5"/>
      <c r="D3" s="5"/>
      <c r="E3" s="5"/>
      <c r="F3" s="5"/>
      <c r="G3" s="6"/>
      <c r="H3" s="18"/>
      <c r="I3" s="5"/>
      <c r="J3" s="18"/>
      <c r="K3" s="5"/>
      <c r="L3" s="5"/>
      <c r="M3" s="18"/>
      <c r="N3" s="46"/>
      <c r="O3" s="5"/>
      <c r="P3" s="6"/>
      <c r="Q3" s="6"/>
      <c r="R3" s="5"/>
      <c r="S3" s="5"/>
      <c r="T3" s="5"/>
      <c r="U3" s="18"/>
      <c r="V3" s="5"/>
      <c r="W3" s="5"/>
      <c r="X3" s="5"/>
      <c r="Y3" s="18"/>
      <c r="Z3" s="18"/>
      <c r="AA3" s="18"/>
      <c r="AB3" s="18"/>
      <c r="AC3" s="18" t="s">
        <v>2</v>
      </c>
      <c r="AE3" s="5" t="s">
        <v>169</v>
      </c>
      <c r="AF3" s="62" t="s">
        <v>170</v>
      </c>
      <c r="AH3" s="73" t="s">
        <v>171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ht="17" customHeight="1" spans="1:52">
      <c r="A4" s="40" t="s">
        <v>3</v>
      </c>
      <c r="B4" s="40" t="s">
        <v>4</v>
      </c>
      <c r="C4" s="40" t="s">
        <v>5</v>
      </c>
      <c r="D4" s="40" t="s">
        <v>6</v>
      </c>
      <c r="E4" s="40" t="s">
        <v>131</v>
      </c>
      <c r="F4" s="40" t="s">
        <v>132</v>
      </c>
      <c r="G4" s="41" t="s">
        <v>133</v>
      </c>
      <c r="H4" s="40" t="s">
        <v>172</v>
      </c>
      <c r="I4" s="40" t="s">
        <v>173</v>
      </c>
      <c r="J4" s="41" t="s">
        <v>174</v>
      </c>
      <c r="K4" s="40" t="s">
        <v>175</v>
      </c>
      <c r="L4" s="47" t="s">
        <v>176</v>
      </c>
      <c r="M4" s="47" t="s">
        <v>177</v>
      </c>
      <c r="N4" s="48" t="s">
        <v>178</v>
      </c>
      <c r="O4" s="47" t="s">
        <v>179</v>
      </c>
      <c r="P4" s="49" t="s">
        <v>136</v>
      </c>
      <c r="Q4" s="49" t="s">
        <v>137</v>
      </c>
      <c r="R4" s="54" t="s">
        <v>140</v>
      </c>
      <c r="S4" s="54" t="s">
        <v>180</v>
      </c>
      <c r="T4" s="55" t="s">
        <v>142</v>
      </c>
      <c r="U4" s="55"/>
      <c r="V4" s="56"/>
      <c r="W4" s="57" t="s">
        <v>143</v>
      </c>
      <c r="X4" s="55"/>
      <c r="Y4" s="63"/>
      <c r="Z4" s="40" t="s">
        <v>144</v>
      </c>
      <c r="AA4" s="40"/>
      <c r="AB4" s="40"/>
      <c r="AC4" s="64" t="s">
        <v>10</v>
      </c>
      <c r="AF4" s="62"/>
      <c r="AH4" s="73"/>
      <c r="AK4" s="40" t="s">
        <v>181</v>
      </c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="32" customFormat="1" ht="30" customHeight="1" spans="1:53">
      <c r="A5" s="40"/>
      <c r="B5" s="40"/>
      <c r="C5" s="40"/>
      <c r="D5" s="40"/>
      <c r="E5" s="40"/>
      <c r="F5" s="40"/>
      <c r="G5" s="41"/>
      <c r="H5" s="40"/>
      <c r="I5" s="40"/>
      <c r="J5" s="41"/>
      <c r="K5" s="40"/>
      <c r="L5" s="47"/>
      <c r="M5" s="47"/>
      <c r="N5" s="48"/>
      <c r="O5" s="41"/>
      <c r="P5" s="49"/>
      <c r="Q5" s="49"/>
      <c r="R5" s="58"/>
      <c r="S5" s="58"/>
      <c r="T5" s="59" t="s">
        <v>147</v>
      </c>
      <c r="U5" s="47" t="s">
        <v>148</v>
      </c>
      <c r="V5" s="47" t="s">
        <v>149</v>
      </c>
      <c r="W5" s="47" t="s">
        <v>147</v>
      </c>
      <c r="X5" s="47" t="s">
        <v>148</v>
      </c>
      <c r="Y5" s="47" t="s">
        <v>149</v>
      </c>
      <c r="Z5" s="47" t="s">
        <v>147</v>
      </c>
      <c r="AA5" s="47" t="s">
        <v>148</v>
      </c>
      <c r="AB5" s="65" t="s">
        <v>149</v>
      </c>
      <c r="AC5" s="66"/>
      <c r="AD5" s="5"/>
      <c r="AE5" s="67">
        <f>2/15</f>
        <v>0.133333333333333</v>
      </c>
      <c r="AF5" s="68" t="s">
        <v>182</v>
      </c>
      <c r="AG5" s="68" t="s">
        <v>183</v>
      </c>
      <c r="AH5" s="74" t="s">
        <v>184</v>
      </c>
      <c r="AI5" s="74" t="s">
        <v>185</v>
      </c>
      <c r="AJ5" s="74" t="s">
        <v>147</v>
      </c>
      <c r="AK5" s="40" t="s">
        <v>186</v>
      </c>
      <c r="AL5" s="40" t="s">
        <v>187</v>
      </c>
      <c r="AM5" s="40" t="s">
        <v>188</v>
      </c>
      <c r="AN5" s="40" t="s">
        <v>189</v>
      </c>
      <c r="AO5" s="40" t="s">
        <v>190</v>
      </c>
      <c r="AP5" s="40" t="s">
        <v>191</v>
      </c>
      <c r="AQ5" s="40" t="s">
        <v>192</v>
      </c>
      <c r="AR5" s="40" t="s">
        <v>193</v>
      </c>
      <c r="AS5" s="40" t="s">
        <v>194</v>
      </c>
      <c r="AT5" s="40" t="s">
        <v>195</v>
      </c>
      <c r="AU5" s="40" t="s">
        <v>196</v>
      </c>
      <c r="AV5" s="40" t="s">
        <v>197</v>
      </c>
      <c r="AW5" s="40" t="s">
        <v>198</v>
      </c>
      <c r="AX5" s="75" t="s">
        <v>199</v>
      </c>
      <c r="AY5" s="40" t="s">
        <v>200</v>
      </c>
      <c r="AZ5" s="40" t="s">
        <v>201</v>
      </c>
      <c r="BA5" s="76" t="s">
        <v>202</v>
      </c>
    </row>
    <row r="6" s="33" customFormat="1" ht="15" customHeight="1" spans="1:53">
      <c r="A6" s="8">
        <v>1</v>
      </c>
      <c r="B6" s="8" t="s">
        <v>11</v>
      </c>
      <c r="C6" s="8" t="s">
        <v>12</v>
      </c>
      <c r="D6" s="10" t="s">
        <v>13</v>
      </c>
      <c r="E6" s="8" t="s">
        <v>150</v>
      </c>
      <c r="F6" s="8" t="s">
        <v>151</v>
      </c>
      <c r="G6" s="42">
        <v>41178</v>
      </c>
      <c r="H6" s="43">
        <v>250000</v>
      </c>
      <c r="I6" s="11">
        <v>410036</v>
      </c>
      <c r="J6" s="11">
        <v>600000</v>
      </c>
      <c r="K6" s="8">
        <v>29</v>
      </c>
      <c r="L6" s="50">
        <v>45382</v>
      </c>
      <c r="M6" s="51">
        <f>(L6-G6)/365*12</f>
        <v>138.213698630137</v>
      </c>
      <c r="N6" s="52">
        <f>180-(L6-G6)/365*12</f>
        <v>41.786301369863</v>
      </c>
      <c r="O6" s="11">
        <f t="shared" ref="O6:O64" si="0">J6-I6</f>
        <v>189964</v>
      </c>
      <c r="P6" s="53">
        <v>42920</v>
      </c>
      <c r="Q6" s="53">
        <v>45110</v>
      </c>
      <c r="R6" s="11"/>
      <c r="S6" s="11">
        <v>720</v>
      </c>
      <c r="T6" s="60">
        <f t="shared" ref="T6:T64" si="1">AJ6</f>
        <v>271767.521367521</v>
      </c>
      <c r="U6" s="61">
        <f t="shared" ref="U6:U19" si="2">O6/J6</f>
        <v>0.316606666666667</v>
      </c>
      <c r="V6" s="11">
        <f t="shared" ref="V6:V19" si="3">T6*U6</f>
        <v>86043.4090484329</v>
      </c>
      <c r="W6" s="11">
        <f t="shared" ref="W6:W64" si="4">AJ6</f>
        <v>271767.521367521</v>
      </c>
      <c r="X6" s="61">
        <f t="shared" ref="X6:X64" si="5">Y6/W6</f>
        <v>0.212504632663062</v>
      </c>
      <c r="Y6" s="11">
        <f t="shared" ref="Y6:Y64" si="6">BA6</f>
        <v>57751.8572979559</v>
      </c>
      <c r="Z6" s="11">
        <f>AJ6</f>
        <v>271767.521367521</v>
      </c>
      <c r="AA6" s="61">
        <f>N6/180</f>
        <v>0.232146118721461</v>
      </c>
      <c r="AB6" s="11">
        <f>Z6*AA6</f>
        <v>63089.7752800217</v>
      </c>
      <c r="AC6" s="8"/>
      <c r="AD6" s="69" t="s">
        <v>203</v>
      </c>
      <c r="AE6" s="69">
        <f>H6*5%</f>
        <v>12500</v>
      </c>
      <c r="AF6" s="11">
        <v>250000</v>
      </c>
      <c r="AG6" s="11">
        <f t="shared" ref="AG6:AG64" si="7">AF6/(1+17%)</f>
        <v>213675.213675214</v>
      </c>
      <c r="AH6" s="11">
        <f>AG6*10%</f>
        <v>21367.5213675214</v>
      </c>
      <c r="AI6" s="11">
        <v>400</v>
      </c>
      <c r="AJ6" s="11">
        <f>AF6+AH6+AI6</f>
        <v>271767.521367521</v>
      </c>
      <c r="AK6" s="11">
        <f>AJ6*AE5</f>
        <v>36235.6695156694</v>
      </c>
      <c r="AL6" s="11">
        <f>(AJ6-AK6)*AE5</f>
        <v>31404.2469135802</v>
      </c>
      <c r="AM6" s="11">
        <f>(AJ6-AK6-AL6)*AE5</f>
        <v>27217.0139917695</v>
      </c>
      <c r="AN6" s="11">
        <f>(AJ6-AK6-AL6-AM6)*AE5</f>
        <v>23588.0787928669</v>
      </c>
      <c r="AO6" s="11">
        <f>(AJ6-AK6-AL6-AM6-AN6)*AE5</f>
        <v>20443.0016204847</v>
      </c>
      <c r="AP6" s="11">
        <f>(AJ6-AK6-AL6-AM6-AN6-AO6)*AE5</f>
        <v>17717.2680710867</v>
      </c>
      <c r="AQ6" s="11">
        <f>(AJ6-AK6-AL6-AM6-AN6-AO6-AP6)*AE5</f>
        <v>15354.9656616085</v>
      </c>
      <c r="AR6" s="11">
        <f>(AJ6-AK6-AL6-AM6-AN6-AO6-AP6-AQ6)*AE5</f>
        <v>13307.6369067274</v>
      </c>
      <c r="AS6" s="11">
        <f>(AJ6-AK6-AL6-AM6-AN6-AO6-AP6-AQ6-AR6)*AE5</f>
        <v>11533.2853191637</v>
      </c>
      <c r="AT6" s="11">
        <f>(AJ6-AK6-AL6-AM6-AN6-AO6-AP6-AQ6-AR6-AS6)*AE5</f>
        <v>9995.51394327523</v>
      </c>
      <c r="AU6" s="11">
        <f>10/12*8662.78</f>
        <v>7218.98333333333</v>
      </c>
      <c r="AV6" s="11"/>
      <c r="AW6" s="11"/>
      <c r="AX6" s="11">
        <f t="shared" ref="AX6:AX64" si="8">SUM(AK6:AW6)</f>
        <v>214015.664069566</v>
      </c>
      <c r="AY6" s="11"/>
      <c r="AZ6" s="11"/>
      <c r="BA6" s="11">
        <f t="shared" ref="BA6:BA64" si="9">AJ6-AX6</f>
        <v>57751.8572979559</v>
      </c>
    </row>
    <row r="7" s="33" customFormat="1" ht="15" customHeight="1" spans="1:53">
      <c r="A7" s="8">
        <v>2</v>
      </c>
      <c r="B7" s="8" t="s">
        <v>11</v>
      </c>
      <c r="C7" s="8" t="s">
        <v>14</v>
      </c>
      <c r="D7" s="10" t="s">
        <v>15</v>
      </c>
      <c r="E7" s="8" t="s">
        <v>150</v>
      </c>
      <c r="F7" s="8" t="s">
        <v>151</v>
      </c>
      <c r="G7" s="42">
        <v>43731</v>
      </c>
      <c r="H7" s="43">
        <v>328000</v>
      </c>
      <c r="I7" s="11">
        <v>202161</v>
      </c>
      <c r="J7" s="11">
        <v>600000</v>
      </c>
      <c r="K7" s="8">
        <v>30</v>
      </c>
      <c r="L7" s="50">
        <v>45382</v>
      </c>
      <c r="M7" s="51">
        <f>(L7-G7)/365*12</f>
        <v>54.2794520547945</v>
      </c>
      <c r="N7" s="52">
        <f>180-(L7-G7)/365*12</f>
        <v>125.720547945205</v>
      </c>
      <c r="O7" s="11">
        <f t="shared" si="0"/>
        <v>397839</v>
      </c>
      <c r="P7" s="53">
        <v>44706</v>
      </c>
      <c r="Q7" s="53">
        <v>46166</v>
      </c>
      <c r="R7" s="11">
        <f>(Q7-L7)/365*12</f>
        <v>25.7753424657534</v>
      </c>
      <c r="S7" s="11">
        <v>720</v>
      </c>
      <c r="T7" s="60">
        <f t="shared" si="1"/>
        <v>356434.188034188</v>
      </c>
      <c r="U7" s="61">
        <f t="shared" si="2"/>
        <v>0.663065</v>
      </c>
      <c r="V7" s="11">
        <f t="shared" si="3"/>
        <v>236339.034888889</v>
      </c>
      <c r="W7" s="11">
        <f t="shared" si="4"/>
        <v>356434.188034188</v>
      </c>
      <c r="X7" s="61">
        <f t="shared" si="5"/>
        <v>0.578633738666274</v>
      </c>
      <c r="Y7" s="11">
        <f t="shared" si="6"/>
        <v>206244.8468107</v>
      </c>
      <c r="Z7" s="11">
        <f>AJ7</f>
        <v>356434.188034188</v>
      </c>
      <c r="AA7" s="61">
        <f>N7/180</f>
        <v>0.698447488584475</v>
      </c>
      <c r="AB7" s="11">
        <f t="shared" ref="AB7:AB38" si="10">Z7*AA7</f>
        <v>248950.563478125</v>
      </c>
      <c r="AC7" s="8"/>
      <c r="AD7" s="69"/>
      <c r="AE7" s="69"/>
      <c r="AF7" s="11">
        <v>328000</v>
      </c>
      <c r="AG7" s="11">
        <f t="shared" si="7"/>
        <v>280341.88034188</v>
      </c>
      <c r="AH7" s="11">
        <f t="shared" ref="AH6:AH64" si="11">AG7*10%</f>
        <v>28034.188034188</v>
      </c>
      <c r="AI7" s="11">
        <v>400</v>
      </c>
      <c r="AJ7" s="11">
        <f t="shared" ref="AJ6:AJ64" si="12">AF7+AH7+AI7</f>
        <v>356434.188034188</v>
      </c>
      <c r="AK7" s="11">
        <f>AJ7*AE5</f>
        <v>47524.5584045583</v>
      </c>
      <c r="AL7" s="11">
        <f>(AJ7-AK7)*AE5</f>
        <v>41187.9506172839</v>
      </c>
      <c r="AM7" s="11">
        <f>(AJ7-AK7-AL7)*AE5</f>
        <v>35696.2238683127</v>
      </c>
      <c r="AN7" s="11">
        <f>10/12*30936.73</f>
        <v>25780.6083333333</v>
      </c>
      <c r="AO7" s="11"/>
      <c r="AP7" s="11"/>
      <c r="AQ7" s="11"/>
      <c r="AR7" s="11"/>
      <c r="AS7" s="11"/>
      <c r="AT7" s="11"/>
      <c r="AU7" s="11"/>
      <c r="AV7" s="11"/>
      <c r="AW7" s="11"/>
      <c r="AX7" s="11">
        <f t="shared" si="8"/>
        <v>150189.341223488</v>
      </c>
      <c r="AY7" s="11"/>
      <c r="AZ7" s="11"/>
      <c r="BA7" s="11">
        <f t="shared" si="9"/>
        <v>206244.8468107</v>
      </c>
    </row>
    <row r="8" s="33" customFormat="1" ht="15" customHeight="1" spans="1:53">
      <c r="A8" s="8">
        <v>3</v>
      </c>
      <c r="B8" s="8" t="s">
        <v>11</v>
      </c>
      <c r="C8" s="8" t="s">
        <v>16</v>
      </c>
      <c r="D8" s="10" t="s">
        <v>13</v>
      </c>
      <c r="E8" s="8" t="s">
        <v>152</v>
      </c>
      <c r="F8" s="8" t="s">
        <v>151</v>
      </c>
      <c r="G8" s="42">
        <v>41514</v>
      </c>
      <c r="H8" s="43">
        <v>210000</v>
      </c>
      <c r="I8" s="11">
        <v>185560</v>
      </c>
      <c r="J8" s="11">
        <v>600000</v>
      </c>
      <c r="K8" s="8">
        <v>30</v>
      </c>
      <c r="L8" s="50">
        <v>45382</v>
      </c>
      <c r="M8" s="51">
        <f>(L8-G8)/365*12</f>
        <v>127.167123287671</v>
      </c>
      <c r="N8" s="52">
        <f t="shared" ref="N8:N21" si="13">180-(L8-G8)/365*12</f>
        <v>52.8328767123288</v>
      </c>
      <c r="O8" s="11">
        <f t="shared" si="0"/>
        <v>414440</v>
      </c>
      <c r="P8" s="53">
        <v>44562</v>
      </c>
      <c r="Q8" s="53">
        <v>46022</v>
      </c>
      <c r="R8" s="11">
        <f t="shared" ref="R7:R38" si="14">(Q8-L8)/365*12</f>
        <v>21.041095890411</v>
      </c>
      <c r="S8" s="11">
        <v>720</v>
      </c>
      <c r="T8" s="60">
        <f t="shared" si="1"/>
        <v>228348.717948718</v>
      </c>
      <c r="U8" s="61">
        <f t="shared" si="2"/>
        <v>0.690733333333333</v>
      </c>
      <c r="V8" s="11">
        <f t="shared" si="3"/>
        <v>157728.071111111</v>
      </c>
      <c r="W8" s="11">
        <f t="shared" si="4"/>
        <v>228348.717948718</v>
      </c>
      <c r="X8" s="61">
        <f t="shared" si="5"/>
        <v>0.242132669150306</v>
      </c>
      <c r="Y8" s="11">
        <f t="shared" si="6"/>
        <v>55290.6845739736</v>
      </c>
      <c r="Z8" s="11">
        <f t="shared" ref="Z6:Z64" si="15">AJ8</f>
        <v>228348.717948718</v>
      </c>
      <c r="AA8" s="61">
        <f>N8/180</f>
        <v>0.29351598173516</v>
      </c>
      <c r="AB8" s="11">
        <f t="shared" si="10"/>
        <v>67023.998126683</v>
      </c>
      <c r="AC8" s="8"/>
      <c r="AD8" s="69"/>
      <c r="AE8" s="69"/>
      <c r="AF8" s="11">
        <v>210000</v>
      </c>
      <c r="AG8" s="11">
        <f t="shared" si="7"/>
        <v>179487.179487179</v>
      </c>
      <c r="AH8" s="11">
        <f t="shared" si="11"/>
        <v>17948.7179487179</v>
      </c>
      <c r="AI8" s="11">
        <v>400</v>
      </c>
      <c r="AJ8" s="11">
        <f t="shared" si="12"/>
        <v>228348.717948718</v>
      </c>
      <c r="AK8" s="11">
        <f>AJ8*AE5</f>
        <v>30446.4957264956</v>
      </c>
      <c r="AL8" s="11">
        <f>(AJ8-AK8)*AE5</f>
        <v>26386.9629629629</v>
      </c>
      <c r="AM8" s="11">
        <f>(AJ8-AK8-AL8)*AE5</f>
        <v>22868.7012345679</v>
      </c>
      <c r="AN8" s="11">
        <f>(AJ8-AK8-AL8-AM8)*AE5</f>
        <v>19819.5410699588</v>
      </c>
      <c r="AO8" s="11">
        <f>(AJ8-AK8-AL8-AM8-AN8)*AE5</f>
        <v>17176.9355939643</v>
      </c>
      <c r="AP8" s="11">
        <f>(AJ8-AK8-AL8-AM8-AN8-AO8)*AE5</f>
        <v>14886.6775147691</v>
      </c>
      <c r="AQ8" s="11">
        <f>(AJ8-AK8-AL8-AM8-AN8-AO8-AP8)*AE5</f>
        <v>12901.7871794665</v>
      </c>
      <c r="AR8" s="11">
        <f>(AJ8-AK8-AL8-AM8-AN8-AO8-AP8-AQ8)*AE5</f>
        <v>11181.548888871</v>
      </c>
      <c r="AS8" s="11">
        <f>(AJ8-AK8-AL8-AM8-AN8-AO8-AP8-AQ8-AR8)*AE5</f>
        <v>9690.67570368821</v>
      </c>
      <c r="AT8" s="11">
        <f>11/12*8398.59</f>
        <v>7698.7075</v>
      </c>
      <c r="AU8" s="11"/>
      <c r="AV8" s="11"/>
      <c r="AW8" s="11"/>
      <c r="AX8" s="11">
        <f t="shared" si="8"/>
        <v>173058.033374744</v>
      </c>
      <c r="AY8" s="11"/>
      <c r="AZ8" s="11"/>
      <c r="BA8" s="11">
        <f t="shared" si="9"/>
        <v>55290.6845739736</v>
      </c>
    </row>
    <row r="9" s="33" customFormat="1" ht="15" customHeight="1" spans="1:53">
      <c r="A9" s="8">
        <v>4</v>
      </c>
      <c r="B9" s="8" t="s">
        <v>17</v>
      </c>
      <c r="C9" s="8" t="s">
        <v>18</v>
      </c>
      <c r="D9" s="10" t="s">
        <v>19</v>
      </c>
      <c r="E9" s="8" t="s">
        <v>150</v>
      </c>
      <c r="F9" s="8" t="s">
        <v>153</v>
      </c>
      <c r="G9" s="42">
        <v>43105</v>
      </c>
      <c r="H9" s="43">
        <v>256000</v>
      </c>
      <c r="I9" s="11">
        <v>204990</v>
      </c>
      <c r="J9" s="11">
        <v>500000</v>
      </c>
      <c r="K9" s="8">
        <v>19</v>
      </c>
      <c r="L9" s="50">
        <v>45382</v>
      </c>
      <c r="M9" s="51">
        <f t="shared" ref="M8:M21" si="16">(L9-G9)/365*12</f>
        <v>74.8602739726027</v>
      </c>
      <c r="N9" s="52">
        <f t="shared" si="13"/>
        <v>105.139726027397</v>
      </c>
      <c r="O9" s="11">
        <f t="shared" si="0"/>
        <v>295010</v>
      </c>
      <c r="P9" s="53">
        <v>43312</v>
      </c>
      <c r="Q9" s="53">
        <v>45503</v>
      </c>
      <c r="R9" s="11">
        <f t="shared" si="14"/>
        <v>3.97808219178082</v>
      </c>
      <c r="S9" s="11">
        <v>720</v>
      </c>
      <c r="T9" s="60">
        <f t="shared" si="1"/>
        <v>278280.341880342</v>
      </c>
      <c r="U9" s="61">
        <f t="shared" si="2"/>
        <v>0.59002</v>
      </c>
      <c r="V9" s="11">
        <f t="shared" si="3"/>
        <v>164190.967316239</v>
      </c>
      <c r="W9" s="11">
        <f t="shared" si="4"/>
        <v>278280.341880342</v>
      </c>
      <c r="X9" s="61">
        <f t="shared" si="5"/>
        <v>0.456349140765444</v>
      </c>
      <c r="Y9" s="11">
        <f t="shared" si="6"/>
        <v>126992.994909008</v>
      </c>
      <c r="Z9" s="11">
        <f t="shared" si="15"/>
        <v>278280.341880342</v>
      </c>
      <c r="AA9" s="61">
        <f t="shared" ref="AA7:AA38" si="17">N9/180</f>
        <v>0.584109589041096</v>
      </c>
      <c r="AB9" s="11">
        <f t="shared" si="10"/>
        <v>162546.216133942</v>
      </c>
      <c r="AC9" s="8"/>
      <c r="AD9" s="69"/>
      <c r="AE9" s="69"/>
      <c r="AF9" s="11">
        <v>256000</v>
      </c>
      <c r="AG9" s="11">
        <f t="shared" si="7"/>
        <v>218803.418803419</v>
      </c>
      <c r="AH9" s="11">
        <f t="shared" si="11"/>
        <v>21880.3418803419</v>
      </c>
      <c r="AI9" s="11">
        <v>400</v>
      </c>
      <c r="AJ9" s="11">
        <f t="shared" si="12"/>
        <v>278280.341880342</v>
      </c>
      <c r="AK9" s="11">
        <f>AJ9*AE5</f>
        <v>37104.0455840455</v>
      </c>
      <c r="AL9" s="11">
        <f>(AJ9-AK9)*AE5</f>
        <v>32156.8395061728</v>
      </c>
      <c r="AM9" s="11">
        <f>(AJ9-AK9-AL9)*AE5</f>
        <v>27869.2609053497</v>
      </c>
      <c r="AN9" s="11">
        <f>(AJ9-AK9-AL9-AM9)*AE5</f>
        <v>24153.3594513031</v>
      </c>
      <c r="AO9" s="11">
        <f>(AJ9-AK9-AL9-AM9-AN9)*AE5</f>
        <v>20932.9115244627</v>
      </c>
      <c r="AP9" s="11">
        <f>6/12*18141.86</f>
        <v>9070.93</v>
      </c>
      <c r="AQ9" s="11"/>
      <c r="AR9" s="11"/>
      <c r="AS9" s="11"/>
      <c r="AT9" s="11"/>
      <c r="AU9" s="11"/>
      <c r="AV9" s="11"/>
      <c r="AW9" s="11"/>
      <c r="AX9" s="11">
        <f t="shared" si="8"/>
        <v>151287.346971334</v>
      </c>
      <c r="AY9" s="11"/>
      <c r="AZ9" s="11"/>
      <c r="BA9" s="11">
        <f t="shared" si="9"/>
        <v>126992.994909008</v>
      </c>
    </row>
    <row r="10" s="33" customFormat="1" ht="15" customHeight="1" spans="1:53">
      <c r="A10" s="8">
        <v>5</v>
      </c>
      <c r="B10" s="8" t="s">
        <v>20</v>
      </c>
      <c r="C10" s="8" t="s">
        <v>21</v>
      </c>
      <c r="D10" s="10" t="s">
        <v>22</v>
      </c>
      <c r="E10" s="8" t="s">
        <v>154</v>
      </c>
      <c r="F10" s="8" t="s">
        <v>153</v>
      </c>
      <c r="G10" s="42">
        <v>41096</v>
      </c>
      <c r="H10" s="43">
        <v>80000</v>
      </c>
      <c r="I10" s="11">
        <v>108885</v>
      </c>
      <c r="J10" s="11">
        <v>500000</v>
      </c>
      <c r="K10" s="8">
        <v>19</v>
      </c>
      <c r="L10" s="50">
        <v>45382</v>
      </c>
      <c r="M10" s="51">
        <f t="shared" si="16"/>
        <v>140.909589041096</v>
      </c>
      <c r="N10" s="52">
        <f t="shared" si="13"/>
        <v>39.0904109589041</v>
      </c>
      <c r="O10" s="11">
        <f t="shared" si="0"/>
        <v>391115</v>
      </c>
      <c r="P10" s="42">
        <v>43297</v>
      </c>
      <c r="Q10" s="42">
        <v>45488</v>
      </c>
      <c r="R10" s="11">
        <f t="shared" si="14"/>
        <v>3.48493150684931</v>
      </c>
      <c r="S10" s="11">
        <v>720</v>
      </c>
      <c r="T10" s="60">
        <f t="shared" si="1"/>
        <v>87237.6068376068</v>
      </c>
      <c r="U10" s="61">
        <f t="shared" si="2"/>
        <v>0.78223</v>
      </c>
      <c r="V10" s="11">
        <f t="shared" si="3"/>
        <v>68239.8731965812</v>
      </c>
      <c r="W10" s="11">
        <f t="shared" si="4"/>
        <v>87237.6068376068</v>
      </c>
      <c r="X10" s="61">
        <f t="shared" si="5"/>
        <v>0.207192020581087</v>
      </c>
      <c r="Y10" s="11">
        <f t="shared" si="6"/>
        <v>18074.9360313423</v>
      </c>
      <c r="Z10" s="11">
        <f t="shared" si="15"/>
        <v>87237.6068376068</v>
      </c>
      <c r="AA10" s="61">
        <f t="shared" si="17"/>
        <v>0.217168949771689</v>
      </c>
      <c r="AB10" s="11">
        <f t="shared" si="10"/>
        <v>18945.2994575186</v>
      </c>
      <c r="AC10" s="8"/>
      <c r="AD10" s="69"/>
      <c r="AE10" s="69"/>
      <c r="AF10" s="11">
        <v>80000</v>
      </c>
      <c r="AG10" s="11">
        <f t="shared" si="7"/>
        <v>68376.0683760684</v>
      </c>
      <c r="AH10" s="11">
        <f t="shared" si="11"/>
        <v>6837.60683760684</v>
      </c>
      <c r="AI10" s="11">
        <v>400</v>
      </c>
      <c r="AJ10" s="11">
        <f t="shared" si="12"/>
        <v>87237.6068376068</v>
      </c>
      <c r="AK10" s="11">
        <f>AJ10*AE5</f>
        <v>11631.6809116809</v>
      </c>
      <c r="AL10" s="11">
        <f>(AJ10-AK10)*AE5</f>
        <v>10080.7901234568</v>
      </c>
      <c r="AM10" s="11">
        <f>(AJ10-AK10-AL10)*AE5</f>
        <v>8736.68477366254</v>
      </c>
      <c r="AN10" s="11">
        <f>(AJ10-AK10-AL10-AM10)*AE5</f>
        <v>7571.79347050753</v>
      </c>
      <c r="AO10" s="11">
        <f>(AJ10-AK10-AL10-AM10-AN10)*AE5</f>
        <v>6562.2210077732</v>
      </c>
      <c r="AP10" s="11">
        <f>(AJ10-AK10-AL10-AM10-AN10-AO10)*AE5</f>
        <v>5687.25820673677</v>
      </c>
      <c r="AQ10" s="11">
        <f>(AJ10-AK10-AL10-AM10-AN10-AO10-AP10)*AE5</f>
        <v>4928.95711250521</v>
      </c>
      <c r="AR10" s="11">
        <f>(AJ10-AK10-AL10-AM10-AN10-AO10-AP10-AQ10)*AE5</f>
        <v>4271.76283083785</v>
      </c>
      <c r="AS10" s="11">
        <f>(AJ10-AK10-AL10-AM10-AN10-AO10-AP10-AQ10-AR10)*AE5</f>
        <v>3702.1944533928</v>
      </c>
      <c r="AT10" s="11">
        <f>(AJ10-AK10-AL10-AM10-AN10-AO10-AP10-AQ10-AR10-AS10)*AE5</f>
        <v>3208.56852627376</v>
      </c>
      <c r="AU10" s="11">
        <f>(AJ10-AK10-AL10-AM10-AN10-AO10-AP10-AQ10-AR10-AS10-AT10)*AE5</f>
        <v>2780.75938943726</v>
      </c>
      <c r="AV10" s="11"/>
      <c r="AW10" s="11"/>
      <c r="AX10" s="11">
        <f t="shared" si="8"/>
        <v>69162.6708062646</v>
      </c>
      <c r="AY10" s="11"/>
      <c r="AZ10" s="11"/>
      <c r="BA10" s="11">
        <f t="shared" si="9"/>
        <v>18074.9360313423</v>
      </c>
    </row>
    <row r="11" s="33" customFormat="1" ht="15" customHeight="1" spans="1:53">
      <c r="A11" s="8">
        <v>6</v>
      </c>
      <c r="B11" s="8" t="s">
        <v>20</v>
      </c>
      <c r="C11" s="8" t="s">
        <v>23</v>
      </c>
      <c r="D11" s="10" t="s">
        <v>22</v>
      </c>
      <c r="E11" s="8" t="s">
        <v>154</v>
      </c>
      <c r="F11" s="8" t="s">
        <v>153</v>
      </c>
      <c r="G11" s="42">
        <v>41096</v>
      </c>
      <c r="H11" s="43">
        <v>80000</v>
      </c>
      <c r="I11" s="11">
        <v>139135</v>
      </c>
      <c r="J11" s="11">
        <v>500000</v>
      </c>
      <c r="K11" s="8">
        <v>19</v>
      </c>
      <c r="L11" s="50">
        <v>45382</v>
      </c>
      <c r="M11" s="51">
        <f t="shared" si="16"/>
        <v>140.909589041096</v>
      </c>
      <c r="N11" s="52">
        <f t="shared" si="13"/>
        <v>39.0904109589041</v>
      </c>
      <c r="O11" s="11">
        <f t="shared" si="0"/>
        <v>360865</v>
      </c>
      <c r="P11" s="42">
        <v>43297</v>
      </c>
      <c r="Q11" s="42">
        <v>45488</v>
      </c>
      <c r="R11" s="11">
        <f t="shared" si="14"/>
        <v>3.48493150684931</v>
      </c>
      <c r="S11" s="11">
        <v>720</v>
      </c>
      <c r="T11" s="11">
        <f t="shared" si="1"/>
        <v>87237.6068376068</v>
      </c>
      <c r="U11" s="61">
        <f t="shared" si="2"/>
        <v>0.72173</v>
      </c>
      <c r="V11" s="11">
        <f t="shared" si="3"/>
        <v>62961.997982906</v>
      </c>
      <c r="W11" s="11">
        <f t="shared" si="4"/>
        <v>87237.6068376068</v>
      </c>
      <c r="X11" s="61">
        <f t="shared" si="5"/>
        <v>0.207192020581087</v>
      </c>
      <c r="Y11" s="11">
        <f t="shared" si="6"/>
        <v>18074.9360313423</v>
      </c>
      <c r="Z11" s="11">
        <f t="shared" si="15"/>
        <v>87237.6068376068</v>
      </c>
      <c r="AA11" s="61">
        <f t="shared" si="17"/>
        <v>0.217168949771689</v>
      </c>
      <c r="AB11" s="11">
        <f t="shared" si="10"/>
        <v>18945.2994575186</v>
      </c>
      <c r="AC11" s="8"/>
      <c r="AD11" s="69"/>
      <c r="AE11" s="69"/>
      <c r="AF11" s="11">
        <v>80000</v>
      </c>
      <c r="AG11" s="11">
        <f t="shared" si="7"/>
        <v>68376.0683760684</v>
      </c>
      <c r="AH11" s="11">
        <f t="shared" si="11"/>
        <v>6837.60683760684</v>
      </c>
      <c r="AI11" s="11">
        <v>400</v>
      </c>
      <c r="AJ11" s="11">
        <f t="shared" si="12"/>
        <v>87237.6068376068</v>
      </c>
      <c r="AK11" s="11">
        <f>AJ11*AE5</f>
        <v>11631.6809116809</v>
      </c>
      <c r="AL11" s="11">
        <f>(AJ11-AK11)*AE5</f>
        <v>10080.7901234568</v>
      </c>
      <c r="AM11" s="11">
        <f>(AJ11-AK11-AL11)*AE5</f>
        <v>8736.68477366254</v>
      </c>
      <c r="AN11" s="11">
        <f>(AJ11-AK11-AL11-AM11)*AE5</f>
        <v>7571.79347050753</v>
      </c>
      <c r="AO11" s="11">
        <f>(AJ11-AK11-AL11-AM11-AN11)*AE5</f>
        <v>6562.2210077732</v>
      </c>
      <c r="AP11" s="11">
        <f>(AJ11-AK11-AL11-AM11-AN11-AO11)*AE5</f>
        <v>5687.25820673677</v>
      </c>
      <c r="AQ11" s="11">
        <f>(AJ11-AK11-AL11-AM11-AN11-AO11-AP11)*AE5</f>
        <v>4928.95711250521</v>
      </c>
      <c r="AR11" s="11">
        <f>(AJ11-AK11-AL11-AM11-AN11-AO11-AP11-AQ11)*AE5</f>
        <v>4271.76283083785</v>
      </c>
      <c r="AS11" s="11">
        <f>(AJ11-AK11-AL11-AM11-AN11-AO11-AP11-AQ11-AR11)*AE5</f>
        <v>3702.1944533928</v>
      </c>
      <c r="AT11" s="11">
        <f>(AJ11-AK11-AL11-AM11-AN11-AO11-AP11-AQ11-AR11-AS11)*AE5</f>
        <v>3208.56852627376</v>
      </c>
      <c r="AU11" s="11">
        <f>(AJ11-AK11-AL11-AM11-AN11-AO11-AP11-AQ11-AR11-AS11-AT11)*AE5</f>
        <v>2780.75938943726</v>
      </c>
      <c r="AV11" s="11"/>
      <c r="AW11" s="11"/>
      <c r="AX11" s="11">
        <f t="shared" si="8"/>
        <v>69162.6708062646</v>
      </c>
      <c r="AY11" s="11"/>
      <c r="AZ11" s="11"/>
      <c r="BA11" s="11">
        <f t="shared" si="9"/>
        <v>18074.9360313423</v>
      </c>
    </row>
    <row r="12" s="33" customFormat="1" ht="15" customHeight="1" spans="1:53">
      <c r="A12" s="8">
        <v>7</v>
      </c>
      <c r="B12" s="8" t="s">
        <v>20</v>
      </c>
      <c r="C12" s="8" t="s">
        <v>24</v>
      </c>
      <c r="D12" s="10" t="s">
        <v>22</v>
      </c>
      <c r="E12" s="8" t="s">
        <v>154</v>
      </c>
      <c r="F12" s="8" t="s">
        <v>153</v>
      </c>
      <c r="G12" s="42">
        <v>41618</v>
      </c>
      <c r="H12" s="43">
        <v>76000</v>
      </c>
      <c r="I12" s="11">
        <v>120702</v>
      </c>
      <c r="J12" s="11">
        <v>500000</v>
      </c>
      <c r="K12" s="8">
        <v>19</v>
      </c>
      <c r="L12" s="50">
        <v>45382</v>
      </c>
      <c r="M12" s="51">
        <f t="shared" si="16"/>
        <v>123.747945205479</v>
      </c>
      <c r="N12" s="52">
        <f t="shared" si="13"/>
        <v>56.2520547945205</v>
      </c>
      <c r="O12" s="11">
        <f t="shared" si="0"/>
        <v>379298</v>
      </c>
      <c r="P12" s="42">
        <v>43089</v>
      </c>
      <c r="Q12" s="42">
        <v>45279</v>
      </c>
      <c r="R12" s="11"/>
      <c r="S12" s="11">
        <v>720</v>
      </c>
      <c r="T12" s="11">
        <f t="shared" si="1"/>
        <v>82895.7264957265</v>
      </c>
      <c r="U12" s="61">
        <f t="shared" si="2"/>
        <v>0.758596</v>
      </c>
      <c r="V12" s="11">
        <f t="shared" si="3"/>
        <v>62884.3665367521</v>
      </c>
      <c r="W12" s="11">
        <f t="shared" si="4"/>
        <v>82895.7264957265</v>
      </c>
      <c r="X12" s="61">
        <f t="shared" si="5"/>
        <v>0.254392539339745</v>
      </c>
      <c r="Y12" s="11">
        <f t="shared" si="6"/>
        <v>21088.0543636609</v>
      </c>
      <c r="Z12" s="11">
        <f t="shared" si="15"/>
        <v>82895.7264957265</v>
      </c>
      <c r="AA12" s="61">
        <f t="shared" si="17"/>
        <v>0.312511415525114</v>
      </c>
      <c r="AB12" s="11">
        <f t="shared" si="10"/>
        <v>25905.8608281622</v>
      </c>
      <c r="AC12" s="8"/>
      <c r="AD12" s="69"/>
      <c r="AE12" s="69"/>
      <c r="AF12" s="11">
        <v>76000</v>
      </c>
      <c r="AG12" s="11">
        <f t="shared" si="7"/>
        <v>64957.264957265</v>
      </c>
      <c r="AH12" s="11">
        <f t="shared" si="11"/>
        <v>6495.7264957265</v>
      </c>
      <c r="AI12" s="11">
        <v>400</v>
      </c>
      <c r="AJ12" s="11">
        <f t="shared" si="12"/>
        <v>82895.7264957265</v>
      </c>
      <c r="AK12" s="11">
        <f>AJ12*AE5</f>
        <v>11052.7635327635</v>
      </c>
      <c r="AL12" s="11">
        <f>(AJ12-AK12)*AE5</f>
        <v>9579.06172839504</v>
      </c>
      <c r="AM12" s="11">
        <f>(AJ12-AK12-AL12)*AE5</f>
        <v>8301.85349794237</v>
      </c>
      <c r="AN12" s="11">
        <f>(AJ12-AK12-AL12-AM12)*AE5</f>
        <v>7194.93969821673</v>
      </c>
      <c r="AO12" s="11">
        <f>(AJ12-AK12-AL12-AM12-AN12)*AE5</f>
        <v>6235.61440512116</v>
      </c>
      <c r="AP12" s="11">
        <f>(AJ12-AK12-AL12-AM12-AN12-AO12)*AE5</f>
        <v>5404.19915110501</v>
      </c>
      <c r="AQ12" s="11">
        <f>(AJ12-AK12-AL12-AM12-AN12-AO12-AP12)*AE5</f>
        <v>4683.63926429101</v>
      </c>
      <c r="AR12" s="11">
        <f>(AJ12-AK12-AL12-AM12-AN12-AO12-AP12-AQ12)*AE5</f>
        <v>4059.15402905221</v>
      </c>
      <c r="AS12" s="11">
        <f>(AJ12-AK12-AL12-AM12-AN12-AO12-AP12-AQ12-AR12)*AE5</f>
        <v>3517.93349184525</v>
      </c>
      <c r="AT12" s="11">
        <f>7/12*3048.88</f>
        <v>1778.51333333333</v>
      </c>
      <c r="AU12" s="11"/>
      <c r="AV12" s="11"/>
      <c r="AW12" s="11"/>
      <c r="AX12" s="11">
        <f t="shared" si="8"/>
        <v>61807.6721320656</v>
      </c>
      <c r="AY12" s="11"/>
      <c r="AZ12" s="11"/>
      <c r="BA12" s="11">
        <f t="shared" si="9"/>
        <v>21088.0543636609</v>
      </c>
    </row>
    <row r="13" s="33" customFormat="1" ht="15" customHeight="1" spans="1:53">
      <c r="A13" s="8">
        <v>8</v>
      </c>
      <c r="B13" s="8" t="s">
        <v>20</v>
      </c>
      <c r="C13" s="8" t="s">
        <v>25</v>
      </c>
      <c r="D13" s="10" t="s">
        <v>22</v>
      </c>
      <c r="E13" s="8" t="s">
        <v>154</v>
      </c>
      <c r="F13" s="8" t="s">
        <v>153</v>
      </c>
      <c r="G13" s="42">
        <v>41618</v>
      </c>
      <c r="H13" s="43">
        <v>76000</v>
      </c>
      <c r="I13" s="11">
        <v>96430</v>
      </c>
      <c r="J13" s="11">
        <v>500000</v>
      </c>
      <c r="K13" s="8">
        <v>19</v>
      </c>
      <c r="L13" s="50">
        <v>45382</v>
      </c>
      <c r="M13" s="51">
        <f t="shared" si="16"/>
        <v>123.747945205479</v>
      </c>
      <c r="N13" s="52">
        <f t="shared" si="13"/>
        <v>56.2520547945205</v>
      </c>
      <c r="O13" s="11">
        <f t="shared" si="0"/>
        <v>403570</v>
      </c>
      <c r="P13" s="42">
        <v>43089</v>
      </c>
      <c r="Q13" s="42">
        <v>45279</v>
      </c>
      <c r="R13" s="11"/>
      <c r="S13" s="11">
        <v>720</v>
      </c>
      <c r="T13" s="11">
        <f t="shared" si="1"/>
        <v>82895.7264957265</v>
      </c>
      <c r="U13" s="61">
        <f t="shared" si="2"/>
        <v>0.80714</v>
      </c>
      <c r="V13" s="11">
        <f t="shared" si="3"/>
        <v>66908.4566837607</v>
      </c>
      <c r="W13" s="11">
        <f t="shared" si="4"/>
        <v>82895.7264957265</v>
      </c>
      <c r="X13" s="61">
        <f t="shared" si="5"/>
        <v>0.254392539339745</v>
      </c>
      <c r="Y13" s="11">
        <f t="shared" si="6"/>
        <v>21088.0543636609</v>
      </c>
      <c r="Z13" s="11">
        <f t="shared" si="15"/>
        <v>82895.7264957265</v>
      </c>
      <c r="AA13" s="61">
        <f t="shared" si="17"/>
        <v>0.312511415525114</v>
      </c>
      <c r="AB13" s="11">
        <f t="shared" si="10"/>
        <v>25905.8608281622</v>
      </c>
      <c r="AC13" s="8"/>
      <c r="AD13" s="69"/>
      <c r="AE13" s="69"/>
      <c r="AF13" s="11">
        <v>76000</v>
      </c>
      <c r="AG13" s="11">
        <f t="shared" si="7"/>
        <v>64957.264957265</v>
      </c>
      <c r="AH13" s="11">
        <f t="shared" si="11"/>
        <v>6495.7264957265</v>
      </c>
      <c r="AI13" s="11">
        <v>400</v>
      </c>
      <c r="AJ13" s="11">
        <f t="shared" si="12"/>
        <v>82895.7264957265</v>
      </c>
      <c r="AK13" s="11">
        <f>AJ13*AE5</f>
        <v>11052.7635327635</v>
      </c>
      <c r="AL13" s="11">
        <f>(AJ13-AK13)*AE5</f>
        <v>9579.06172839504</v>
      </c>
      <c r="AM13" s="11">
        <f>(AJ13-AK13-AL13)*AE5</f>
        <v>8301.85349794237</v>
      </c>
      <c r="AN13" s="11">
        <f>(AJ13-AK13-AL13-AM13)*AE5</f>
        <v>7194.93969821673</v>
      </c>
      <c r="AO13" s="11">
        <f>(AJ13-AK13-AL13-AM13-AN13)*AE5</f>
        <v>6235.61440512116</v>
      </c>
      <c r="AP13" s="11">
        <f>(AJ13-AK13-AL13-AM13-AN13-AO13)*AE5</f>
        <v>5404.19915110501</v>
      </c>
      <c r="AQ13" s="11">
        <f>(AJ13-AK13-AL13-AM13-AN13-AO13-AP13)*AE5</f>
        <v>4683.63926429101</v>
      </c>
      <c r="AR13" s="11">
        <f>(AJ13-AK13-AL13-AM13-AN13-AO13-AP13-AQ13)*AE5</f>
        <v>4059.15402905221</v>
      </c>
      <c r="AS13" s="11">
        <f>(AJ13-AK13-AL13-AM13-AN13-AO13-AP13-AQ13-AR13)*AE5</f>
        <v>3517.93349184525</v>
      </c>
      <c r="AT13" s="11">
        <f>7/12*3048.88</f>
        <v>1778.51333333333</v>
      </c>
      <c r="AU13" s="11"/>
      <c r="AV13" s="11"/>
      <c r="AW13" s="11"/>
      <c r="AX13" s="11">
        <f t="shared" si="8"/>
        <v>61807.6721320656</v>
      </c>
      <c r="AY13" s="11"/>
      <c r="AZ13" s="11"/>
      <c r="BA13" s="11">
        <f t="shared" si="9"/>
        <v>21088.0543636609</v>
      </c>
    </row>
    <row r="14" s="33" customFormat="1" ht="15" customHeight="1" spans="1:53">
      <c r="A14" s="8">
        <v>9</v>
      </c>
      <c r="B14" s="8" t="s">
        <v>26</v>
      </c>
      <c r="C14" s="8" t="s">
        <v>27</v>
      </c>
      <c r="D14" s="10" t="s">
        <v>15</v>
      </c>
      <c r="E14" s="8" t="s">
        <v>150</v>
      </c>
      <c r="F14" s="8" t="s">
        <v>151</v>
      </c>
      <c r="G14" s="42">
        <v>41347</v>
      </c>
      <c r="H14" s="43">
        <v>250000</v>
      </c>
      <c r="I14" s="11">
        <v>550000</v>
      </c>
      <c r="J14" s="11">
        <v>600000</v>
      </c>
      <c r="K14" s="8">
        <v>29</v>
      </c>
      <c r="L14" s="50">
        <v>45382</v>
      </c>
      <c r="M14" s="51">
        <f t="shared" si="16"/>
        <v>132.657534246575</v>
      </c>
      <c r="N14" s="52">
        <f t="shared" si="13"/>
        <v>47.3424657534246</v>
      </c>
      <c r="O14" s="11">
        <f t="shared" si="0"/>
        <v>50000</v>
      </c>
      <c r="P14" s="53">
        <v>44307</v>
      </c>
      <c r="Q14" s="53">
        <v>45767</v>
      </c>
      <c r="R14" s="11">
        <f t="shared" si="14"/>
        <v>12.6575342465753</v>
      </c>
      <c r="S14" s="11">
        <v>720</v>
      </c>
      <c r="T14" s="11">
        <f t="shared" si="1"/>
        <v>271767.521367521</v>
      </c>
      <c r="U14" s="61">
        <f t="shared" si="2"/>
        <v>0.0833333333333333</v>
      </c>
      <c r="V14" s="11">
        <f t="shared" si="3"/>
        <v>22647.2934472934</v>
      </c>
      <c r="W14" s="11">
        <f t="shared" si="4"/>
        <v>271767.521367521</v>
      </c>
      <c r="X14" s="61">
        <f t="shared" si="5"/>
        <v>0.228442482698285</v>
      </c>
      <c r="Y14" s="11">
        <f t="shared" si="6"/>
        <v>62083.2472979559</v>
      </c>
      <c r="Z14" s="11">
        <f t="shared" si="15"/>
        <v>271767.521367521</v>
      </c>
      <c r="AA14" s="61">
        <f t="shared" si="17"/>
        <v>0.263013698630137</v>
      </c>
      <c r="AB14" s="11">
        <f t="shared" si="10"/>
        <v>71478.5809624166</v>
      </c>
      <c r="AC14" s="8"/>
      <c r="AD14" s="69"/>
      <c r="AE14" s="69"/>
      <c r="AF14" s="11">
        <v>250000</v>
      </c>
      <c r="AG14" s="11">
        <f t="shared" si="7"/>
        <v>213675.213675214</v>
      </c>
      <c r="AH14" s="11">
        <f t="shared" si="11"/>
        <v>21367.5213675214</v>
      </c>
      <c r="AI14" s="11">
        <v>400</v>
      </c>
      <c r="AJ14" s="11">
        <f t="shared" si="12"/>
        <v>271767.521367521</v>
      </c>
      <c r="AK14" s="11">
        <f>AJ14*AE5</f>
        <v>36235.6695156694</v>
      </c>
      <c r="AL14" s="11">
        <f>(AJ14-AK14)*AE5</f>
        <v>31404.2469135802</v>
      </c>
      <c r="AM14" s="11">
        <f>(AJ14-AK14-AL14)*AE5</f>
        <v>27217.0139917695</v>
      </c>
      <c r="AN14" s="11">
        <f>(AJ14-AK14-AL14-AM14)*AE5</f>
        <v>23588.0787928669</v>
      </c>
      <c r="AO14" s="11">
        <f>(AJ14-AK14-AL14-AM14-AN14)*AE5</f>
        <v>20443.0016204847</v>
      </c>
      <c r="AP14" s="11">
        <f>(AJ14-AK14-AL14-AM14-AN14-AO14)*AE5</f>
        <v>17717.2680710867</v>
      </c>
      <c r="AQ14" s="11">
        <f>(AJ14-AK14-AL14-AM14-AN14-AO14-AP14)*AE5</f>
        <v>15354.9656616085</v>
      </c>
      <c r="AR14" s="11">
        <f>(AJ14-AK14-AL14-AM14-AN14-AO14-AP14-AQ14)*AE5</f>
        <v>13307.6369067274</v>
      </c>
      <c r="AS14" s="11">
        <f>(AJ14-AK14-AL14-AM14-AN14-AO14-AP14-AQ14-AR14)*AE5</f>
        <v>11533.2853191637</v>
      </c>
      <c r="AT14" s="11">
        <f>(AJ14-AK14-AL14-AM14-AN14-AO14-AP14-AQ14-AR14-AS14)*AE5</f>
        <v>9995.51394327523</v>
      </c>
      <c r="AU14" s="11">
        <f t="shared" ref="AU14:AU17" si="18">4/12*8662.78</f>
        <v>2887.59333333333</v>
      </c>
      <c r="AV14" s="11"/>
      <c r="AW14" s="11"/>
      <c r="AX14" s="11">
        <f t="shared" si="8"/>
        <v>209684.274069565</v>
      </c>
      <c r="AY14" s="11"/>
      <c r="AZ14" s="11"/>
      <c r="BA14" s="11">
        <f t="shared" si="9"/>
        <v>62083.2472979559</v>
      </c>
    </row>
    <row r="15" s="33" customFormat="1" ht="15" customHeight="1" spans="1:53">
      <c r="A15" s="8">
        <v>10</v>
      </c>
      <c r="B15" s="8" t="s">
        <v>26</v>
      </c>
      <c r="C15" s="8" t="s">
        <v>28</v>
      </c>
      <c r="D15" s="10" t="s">
        <v>15</v>
      </c>
      <c r="E15" s="8" t="s">
        <v>150</v>
      </c>
      <c r="F15" s="8" t="s">
        <v>151</v>
      </c>
      <c r="G15" s="42">
        <v>41347</v>
      </c>
      <c r="H15" s="43">
        <v>250000</v>
      </c>
      <c r="I15" s="11">
        <v>569600</v>
      </c>
      <c r="J15" s="11">
        <v>600000</v>
      </c>
      <c r="K15" s="8">
        <v>29</v>
      </c>
      <c r="L15" s="50">
        <v>45382</v>
      </c>
      <c r="M15" s="51">
        <f t="shared" si="16"/>
        <v>132.657534246575</v>
      </c>
      <c r="N15" s="52">
        <f t="shared" si="13"/>
        <v>47.3424657534246</v>
      </c>
      <c r="O15" s="11">
        <f t="shared" si="0"/>
        <v>30400</v>
      </c>
      <c r="P15" s="53">
        <v>44307</v>
      </c>
      <c r="Q15" s="53">
        <v>45767</v>
      </c>
      <c r="R15" s="11">
        <f t="shared" si="14"/>
        <v>12.6575342465753</v>
      </c>
      <c r="S15" s="11">
        <v>720</v>
      </c>
      <c r="T15" s="11">
        <f t="shared" si="1"/>
        <v>271767.521367521</v>
      </c>
      <c r="U15" s="61">
        <f t="shared" si="2"/>
        <v>0.0506666666666667</v>
      </c>
      <c r="V15" s="11">
        <f t="shared" si="3"/>
        <v>13769.5544159544</v>
      </c>
      <c r="W15" s="11">
        <f t="shared" si="4"/>
        <v>271767.521367521</v>
      </c>
      <c r="X15" s="61">
        <f t="shared" si="5"/>
        <v>0.228442482698285</v>
      </c>
      <c r="Y15" s="11">
        <f t="shared" si="6"/>
        <v>62083.2472979559</v>
      </c>
      <c r="Z15" s="11">
        <f t="shared" si="15"/>
        <v>271767.521367521</v>
      </c>
      <c r="AA15" s="61">
        <f t="shared" si="17"/>
        <v>0.263013698630137</v>
      </c>
      <c r="AB15" s="11">
        <f t="shared" si="10"/>
        <v>71478.5809624166</v>
      </c>
      <c r="AC15" s="8"/>
      <c r="AD15" s="69"/>
      <c r="AE15" s="69"/>
      <c r="AF15" s="11">
        <v>250000</v>
      </c>
      <c r="AG15" s="11">
        <f t="shared" si="7"/>
        <v>213675.213675214</v>
      </c>
      <c r="AH15" s="11">
        <f t="shared" si="11"/>
        <v>21367.5213675214</v>
      </c>
      <c r="AI15" s="11">
        <v>400</v>
      </c>
      <c r="AJ15" s="11">
        <f t="shared" si="12"/>
        <v>271767.521367521</v>
      </c>
      <c r="AK15" s="11">
        <f>AJ15*AE5</f>
        <v>36235.6695156694</v>
      </c>
      <c r="AL15" s="11">
        <f>(AJ15-AK15)*AE5</f>
        <v>31404.2469135802</v>
      </c>
      <c r="AM15" s="11">
        <f>(AJ15-AK15-AL15)*AE5</f>
        <v>27217.0139917695</v>
      </c>
      <c r="AN15" s="11">
        <f>(AJ15-AK15-AL15-AM15)*AE5</f>
        <v>23588.0787928669</v>
      </c>
      <c r="AO15" s="11">
        <f>(AJ15-AK15-AL15-AM15-AN15)*AE5</f>
        <v>20443.0016204847</v>
      </c>
      <c r="AP15" s="11">
        <f>(AJ15-AK15-AL15-AM15-AN15-AO15)*AE5</f>
        <v>17717.2680710867</v>
      </c>
      <c r="AQ15" s="11">
        <f>(AJ15-AK15-AL15-AM15-AN15-AO15-AP15)*AE5</f>
        <v>15354.9656616085</v>
      </c>
      <c r="AR15" s="11">
        <f>(AJ15-AK15-AL15-AM15-AN15-AO15-AP15-AQ15)*AE5</f>
        <v>13307.6369067274</v>
      </c>
      <c r="AS15" s="11">
        <f>(AJ15-AK15-AL15-AM15-AN15-AO15-AP15-AQ15-AR15)*AE5</f>
        <v>11533.2853191637</v>
      </c>
      <c r="AT15" s="11">
        <f>(AJ15-AK15-AL15-AM15-AN15-AO15-AP15-AQ15-AR15-AS15)*AE5</f>
        <v>9995.51394327523</v>
      </c>
      <c r="AU15" s="11">
        <f t="shared" si="18"/>
        <v>2887.59333333333</v>
      </c>
      <c r="AV15" s="11"/>
      <c r="AW15" s="11"/>
      <c r="AX15" s="11">
        <f t="shared" si="8"/>
        <v>209684.274069565</v>
      </c>
      <c r="AY15" s="11"/>
      <c r="AZ15" s="11"/>
      <c r="BA15" s="11">
        <f t="shared" si="9"/>
        <v>62083.2472979559</v>
      </c>
    </row>
    <row r="16" s="33" customFormat="1" ht="15" customHeight="1" spans="1:53">
      <c r="A16" s="8">
        <v>11</v>
      </c>
      <c r="B16" s="8" t="s">
        <v>26</v>
      </c>
      <c r="C16" s="8" t="s">
        <v>29</v>
      </c>
      <c r="D16" s="10" t="s">
        <v>15</v>
      </c>
      <c r="E16" s="8" t="s">
        <v>150</v>
      </c>
      <c r="F16" s="8" t="s">
        <v>151</v>
      </c>
      <c r="G16" s="42">
        <v>41347</v>
      </c>
      <c r="H16" s="43">
        <v>250000</v>
      </c>
      <c r="I16" s="11">
        <v>552216</v>
      </c>
      <c r="J16" s="11">
        <v>600000</v>
      </c>
      <c r="K16" s="8">
        <v>29</v>
      </c>
      <c r="L16" s="50">
        <v>45382</v>
      </c>
      <c r="M16" s="51">
        <f t="shared" si="16"/>
        <v>132.657534246575</v>
      </c>
      <c r="N16" s="52">
        <f t="shared" si="13"/>
        <v>47.3424657534246</v>
      </c>
      <c r="O16" s="11">
        <f t="shared" si="0"/>
        <v>47784</v>
      </c>
      <c r="P16" s="53">
        <v>44307</v>
      </c>
      <c r="Q16" s="53">
        <v>45767</v>
      </c>
      <c r="R16" s="11">
        <f t="shared" si="14"/>
        <v>12.6575342465753</v>
      </c>
      <c r="S16" s="11">
        <v>720</v>
      </c>
      <c r="T16" s="11">
        <f t="shared" si="1"/>
        <v>271767.521367521</v>
      </c>
      <c r="U16" s="61">
        <f t="shared" si="2"/>
        <v>0.07964</v>
      </c>
      <c r="V16" s="11">
        <f t="shared" si="3"/>
        <v>21643.5654017094</v>
      </c>
      <c r="W16" s="11">
        <f t="shared" si="4"/>
        <v>271767.521367521</v>
      </c>
      <c r="X16" s="61">
        <f t="shared" si="5"/>
        <v>0.228442482698285</v>
      </c>
      <c r="Y16" s="11">
        <f t="shared" si="6"/>
        <v>62083.2472979559</v>
      </c>
      <c r="Z16" s="11">
        <f t="shared" si="15"/>
        <v>271767.521367521</v>
      </c>
      <c r="AA16" s="61">
        <f t="shared" si="17"/>
        <v>0.263013698630137</v>
      </c>
      <c r="AB16" s="11">
        <f t="shared" si="10"/>
        <v>71478.5809624166</v>
      </c>
      <c r="AC16" s="8"/>
      <c r="AD16" s="69"/>
      <c r="AE16" s="69"/>
      <c r="AF16" s="11">
        <v>250000</v>
      </c>
      <c r="AG16" s="11">
        <f t="shared" si="7"/>
        <v>213675.213675214</v>
      </c>
      <c r="AH16" s="11">
        <f t="shared" si="11"/>
        <v>21367.5213675214</v>
      </c>
      <c r="AI16" s="11">
        <v>400</v>
      </c>
      <c r="AJ16" s="11">
        <f t="shared" si="12"/>
        <v>271767.521367521</v>
      </c>
      <c r="AK16" s="11">
        <f>AJ16*AE5</f>
        <v>36235.6695156694</v>
      </c>
      <c r="AL16" s="11">
        <f>(AJ16-AK16)*AE5</f>
        <v>31404.2469135802</v>
      </c>
      <c r="AM16" s="11">
        <f>(AJ16-AK16-AL16)*AE5</f>
        <v>27217.0139917695</v>
      </c>
      <c r="AN16" s="11">
        <f>(AJ16-AK16-AL16-AM16)*AE5</f>
        <v>23588.0787928669</v>
      </c>
      <c r="AO16" s="11">
        <f>(AJ16-AK16-AL16-AM16-AN16)*AE5</f>
        <v>20443.0016204847</v>
      </c>
      <c r="AP16" s="11">
        <f>(AJ16-AK16-AL16-AM16-AN16-AO16)*AE5</f>
        <v>17717.2680710867</v>
      </c>
      <c r="AQ16" s="11">
        <f>(AJ16-AK16-AL16-AM16-AN16-AO16-AP16)*AE5</f>
        <v>15354.9656616085</v>
      </c>
      <c r="AR16" s="11">
        <f>(AJ16-AK16-AL16-AM16-AN16-AO16-AP16-AQ16)*AE5</f>
        <v>13307.6369067274</v>
      </c>
      <c r="AS16" s="11">
        <f>(AJ16-AK16-AL16-AM16-AN16-AO16-AP16-AQ16-AR16)*AE5</f>
        <v>11533.2853191637</v>
      </c>
      <c r="AT16" s="11">
        <f>(AJ16-AK16-AL16-AM16-AN16-AO16-AP16-AQ16-AR16-AS16)*AE5</f>
        <v>9995.51394327523</v>
      </c>
      <c r="AU16" s="11">
        <f t="shared" si="18"/>
        <v>2887.59333333333</v>
      </c>
      <c r="AV16" s="11"/>
      <c r="AW16" s="11"/>
      <c r="AX16" s="11">
        <f t="shared" si="8"/>
        <v>209684.274069565</v>
      </c>
      <c r="AY16" s="11"/>
      <c r="AZ16" s="11"/>
      <c r="BA16" s="11">
        <f t="shared" si="9"/>
        <v>62083.2472979559</v>
      </c>
    </row>
    <row r="17" s="33" customFormat="1" ht="15" customHeight="1" spans="1:53">
      <c r="A17" s="8">
        <v>12</v>
      </c>
      <c r="B17" s="8" t="s">
        <v>26</v>
      </c>
      <c r="C17" s="8" t="s">
        <v>30</v>
      </c>
      <c r="D17" s="10" t="s">
        <v>15</v>
      </c>
      <c r="E17" s="8" t="s">
        <v>150</v>
      </c>
      <c r="F17" s="8" t="s">
        <v>151</v>
      </c>
      <c r="G17" s="42">
        <v>41347</v>
      </c>
      <c r="H17" s="43">
        <v>250000</v>
      </c>
      <c r="I17" s="11">
        <v>500000</v>
      </c>
      <c r="J17" s="11">
        <v>600000</v>
      </c>
      <c r="K17" s="8">
        <v>29</v>
      </c>
      <c r="L17" s="50">
        <v>45382</v>
      </c>
      <c r="M17" s="51">
        <f t="shared" si="16"/>
        <v>132.657534246575</v>
      </c>
      <c r="N17" s="52">
        <f t="shared" si="13"/>
        <v>47.3424657534246</v>
      </c>
      <c r="O17" s="11">
        <f t="shared" si="0"/>
        <v>100000</v>
      </c>
      <c r="P17" s="53">
        <v>44307</v>
      </c>
      <c r="Q17" s="53">
        <v>45767</v>
      </c>
      <c r="R17" s="11">
        <f t="shared" si="14"/>
        <v>12.6575342465753</v>
      </c>
      <c r="S17" s="11">
        <v>720</v>
      </c>
      <c r="T17" s="11">
        <f t="shared" si="1"/>
        <v>271767.521367521</v>
      </c>
      <c r="U17" s="61">
        <f t="shared" si="2"/>
        <v>0.166666666666667</v>
      </c>
      <c r="V17" s="11">
        <f t="shared" si="3"/>
        <v>45294.5868945868</v>
      </c>
      <c r="W17" s="11">
        <f t="shared" si="4"/>
        <v>271767.521367521</v>
      </c>
      <c r="X17" s="61">
        <f t="shared" si="5"/>
        <v>0.228442482698285</v>
      </c>
      <c r="Y17" s="11">
        <f t="shared" si="6"/>
        <v>62083.2472979559</v>
      </c>
      <c r="Z17" s="11">
        <f t="shared" si="15"/>
        <v>271767.521367521</v>
      </c>
      <c r="AA17" s="61">
        <f t="shared" si="17"/>
        <v>0.263013698630137</v>
      </c>
      <c r="AB17" s="11">
        <f t="shared" si="10"/>
        <v>71478.5809624166</v>
      </c>
      <c r="AC17" s="8"/>
      <c r="AD17" s="69"/>
      <c r="AE17" s="69"/>
      <c r="AF17" s="11">
        <v>250000</v>
      </c>
      <c r="AG17" s="11">
        <f t="shared" si="7"/>
        <v>213675.213675214</v>
      </c>
      <c r="AH17" s="11">
        <f t="shared" si="11"/>
        <v>21367.5213675214</v>
      </c>
      <c r="AI17" s="11">
        <v>400</v>
      </c>
      <c r="AJ17" s="11">
        <f t="shared" si="12"/>
        <v>271767.521367521</v>
      </c>
      <c r="AK17" s="11">
        <f>AJ17*AE5</f>
        <v>36235.6695156694</v>
      </c>
      <c r="AL17" s="11">
        <f>(AJ17-AK17)*AE5</f>
        <v>31404.2469135802</v>
      </c>
      <c r="AM17" s="11">
        <f>(AJ17-AK17-AL17)*AE5</f>
        <v>27217.0139917695</v>
      </c>
      <c r="AN17" s="11">
        <f>(AJ17-AK17-AL17-AM17)*AE5</f>
        <v>23588.0787928669</v>
      </c>
      <c r="AO17" s="11">
        <f>(AJ17-AK17-AL17-AM17-AN17)*AE5</f>
        <v>20443.0016204847</v>
      </c>
      <c r="AP17" s="11">
        <f>(AJ17-AK17-AL17-AM17-AN17-AO17)*AE5</f>
        <v>17717.2680710867</v>
      </c>
      <c r="AQ17" s="11">
        <f>(AJ17-AK17-AL17-AM17-AN17-AO17-AP17)*AE5</f>
        <v>15354.9656616085</v>
      </c>
      <c r="AR17" s="11">
        <f>(AJ17-AK17-AL17-AM17-AN17-AO17-AP17-AQ17)*AE5</f>
        <v>13307.6369067274</v>
      </c>
      <c r="AS17" s="11">
        <f>(AJ17-AK17-AL17-AM17-AN17-AO17-AP17-AQ17-AR17)*AE5</f>
        <v>11533.2853191637</v>
      </c>
      <c r="AT17" s="11">
        <f>(AJ17-AK17-AL17-AM17-AN17-AO17-AP17-AQ17-AR17-AS17)*AE5</f>
        <v>9995.51394327523</v>
      </c>
      <c r="AU17" s="11">
        <f t="shared" si="18"/>
        <v>2887.59333333333</v>
      </c>
      <c r="AV17" s="11"/>
      <c r="AW17" s="11"/>
      <c r="AX17" s="11">
        <f t="shared" si="8"/>
        <v>209684.274069565</v>
      </c>
      <c r="AY17" s="11"/>
      <c r="AZ17" s="11"/>
      <c r="BA17" s="11">
        <f t="shared" si="9"/>
        <v>62083.2472979559</v>
      </c>
    </row>
    <row r="18" s="33" customFormat="1" ht="15" customHeight="1" spans="1:53">
      <c r="A18" s="8">
        <v>13</v>
      </c>
      <c r="B18" s="8" t="s">
        <v>26</v>
      </c>
      <c r="C18" s="8" t="s">
        <v>155</v>
      </c>
      <c r="D18" s="10" t="s">
        <v>15</v>
      </c>
      <c r="E18" s="8" t="s">
        <v>150</v>
      </c>
      <c r="F18" s="8" t="s">
        <v>151</v>
      </c>
      <c r="G18" s="42">
        <v>44300</v>
      </c>
      <c r="H18" s="43">
        <v>204000</v>
      </c>
      <c r="I18" s="11">
        <v>119390</v>
      </c>
      <c r="J18" s="11">
        <v>600000</v>
      </c>
      <c r="K18" s="8">
        <v>30</v>
      </c>
      <c r="L18" s="50">
        <v>45382</v>
      </c>
      <c r="M18" s="51">
        <f t="shared" si="16"/>
        <v>35.572602739726</v>
      </c>
      <c r="N18" s="52">
        <f t="shared" si="13"/>
        <v>144.427397260274</v>
      </c>
      <c r="O18" s="11">
        <f t="shared" si="0"/>
        <v>480610</v>
      </c>
      <c r="P18" s="53">
        <v>44307</v>
      </c>
      <c r="Q18" s="53">
        <v>45767</v>
      </c>
      <c r="R18" s="11">
        <f t="shared" si="14"/>
        <v>12.6575342465753</v>
      </c>
      <c r="S18" s="11">
        <v>720</v>
      </c>
      <c r="T18" s="11">
        <f t="shared" si="1"/>
        <v>221835.897435897</v>
      </c>
      <c r="U18" s="61">
        <f t="shared" si="2"/>
        <v>0.801016666666667</v>
      </c>
      <c r="V18" s="11">
        <f t="shared" si="3"/>
        <v>177694.251111111</v>
      </c>
      <c r="W18" s="11">
        <f t="shared" si="4"/>
        <v>221835.897435897</v>
      </c>
      <c r="X18" s="61">
        <f t="shared" si="5"/>
        <v>0.726074078943651</v>
      </c>
      <c r="Y18" s="11">
        <f t="shared" si="6"/>
        <v>161069.294907408</v>
      </c>
      <c r="Z18" s="11">
        <f t="shared" si="15"/>
        <v>221835.897435897</v>
      </c>
      <c r="AA18" s="61">
        <f t="shared" si="17"/>
        <v>0.802374429223744</v>
      </c>
      <c r="AB18" s="11">
        <f t="shared" si="10"/>
        <v>177995.451586465</v>
      </c>
      <c r="AC18" s="8"/>
      <c r="AD18" s="69"/>
      <c r="AE18" s="69"/>
      <c r="AF18" s="11">
        <v>204000</v>
      </c>
      <c r="AG18" s="11">
        <f t="shared" si="7"/>
        <v>174358.974358974</v>
      </c>
      <c r="AH18" s="11">
        <f t="shared" si="11"/>
        <v>17435.8974358974</v>
      </c>
      <c r="AI18" s="11">
        <v>400</v>
      </c>
      <c r="AJ18" s="11">
        <f t="shared" si="12"/>
        <v>221835.897435897</v>
      </c>
      <c r="AK18" s="11">
        <f>AJ18*AE5</f>
        <v>29578.1196581196</v>
      </c>
      <c r="AL18" s="11">
        <f>(AJ18-AK18)*AE5</f>
        <v>25634.3703703703</v>
      </c>
      <c r="AM18" s="11">
        <f>3/12*22216.45</f>
        <v>5554.1125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>
        <f t="shared" si="8"/>
        <v>60766.6025284899</v>
      </c>
      <c r="AY18" s="11"/>
      <c r="AZ18" s="11"/>
      <c r="BA18" s="11">
        <f t="shared" si="9"/>
        <v>161069.294907408</v>
      </c>
    </row>
    <row r="19" s="33" customFormat="1" ht="15" customHeight="1" spans="1:53">
      <c r="A19" s="8">
        <v>14</v>
      </c>
      <c r="B19" s="8" t="s">
        <v>32</v>
      </c>
      <c r="C19" s="8" t="s">
        <v>33</v>
      </c>
      <c r="D19" s="10" t="s">
        <v>34</v>
      </c>
      <c r="E19" s="8" t="s">
        <v>154</v>
      </c>
      <c r="F19" s="8" t="s">
        <v>153</v>
      </c>
      <c r="G19" s="42">
        <v>41397</v>
      </c>
      <c r="H19" s="43">
        <v>90000</v>
      </c>
      <c r="I19" s="11">
        <v>68827.4</v>
      </c>
      <c r="J19" s="11">
        <v>500000</v>
      </c>
      <c r="K19" s="8">
        <v>19</v>
      </c>
      <c r="L19" s="50">
        <v>45382</v>
      </c>
      <c r="M19" s="51">
        <f t="shared" si="16"/>
        <v>131.013698630137</v>
      </c>
      <c r="N19" s="52">
        <f t="shared" si="13"/>
        <v>48.986301369863</v>
      </c>
      <c r="O19" s="11">
        <f t="shared" si="0"/>
        <v>431172.6</v>
      </c>
      <c r="P19" s="42">
        <v>42887</v>
      </c>
      <c r="Q19" s="42">
        <v>45077</v>
      </c>
      <c r="R19" s="11"/>
      <c r="S19" s="11">
        <v>720</v>
      </c>
      <c r="T19" s="11">
        <f t="shared" si="1"/>
        <v>98092.3076923077</v>
      </c>
      <c r="U19" s="61">
        <f t="shared" si="2"/>
        <v>0.8623452</v>
      </c>
      <c r="V19" s="11">
        <f t="shared" si="3"/>
        <v>84589.4306953846</v>
      </c>
      <c r="W19" s="11">
        <f t="shared" si="4"/>
        <v>98092.3076923077</v>
      </c>
      <c r="X19" s="61">
        <f t="shared" si="5"/>
        <v>0.233848677865013</v>
      </c>
      <c r="Y19" s="11">
        <f t="shared" si="6"/>
        <v>22938.7564625742</v>
      </c>
      <c r="Z19" s="11">
        <f t="shared" si="15"/>
        <v>98092.3076923077</v>
      </c>
      <c r="AA19" s="61">
        <f t="shared" si="17"/>
        <v>0.272146118721461</v>
      </c>
      <c r="AB19" s="11">
        <f t="shared" si="10"/>
        <v>26695.4408148929</v>
      </c>
      <c r="AC19" s="8"/>
      <c r="AD19" s="69"/>
      <c r="AE19" s="69"/>
      <c r="AF19" s="11">
        <v>90000</v>
      </c>
      <c r="AG19" s="11">
        <f t="shared" si="7"/>
        <v>76923.0769230769</v>
      </c>
      <c r="AH19" s="11">
        <f t="shared" si="11"/>
        <v>7692.30769230769</v>
      </c>
      <c r="AI19" s="11">
        <v>400</v>
      </c>
      <c r="AJ19" s="11">
        <f t="shared" si="12"/>
        <v>98092.3076923077</v>
      </c>
      <c r="AK19" s="11">
        <f>AJ19*AE5</f>
        <v>13078.9743589743</v>
      </c>
      <c r="AL19" s="11">
        <f>(AJ19-AK19)*AE5</f>
        <v>11335.1111111111</v>
      </c>
      <c r="AM19" s="11">
        <f>(AJ19-AK19-AL19)*AE5</f>
        <v>9823.76296296295</v>
      </c>
      <c r="AN19" s="11">
        <f>(AJ19-AK19-AL19-AM19)*AE5</f>
        <v>8513.92790123456</v>
      </c>
      <c r="AO19" s="11">
        <f>(AJ19-AK19-AL19-AM19-AN19)*AE5</f>
        <v>7378.73751440328</v>
      </c>
      <c r="AP19" s="11">
        <f>(AJ19-AK19-AL19-AM19-AN19-AO19)*AE5</f>
        <v>6394.90584581618</v>
      </c>
      <c r="AQ19" s="11">
        <f>(AJ19-AK19-AL19-AM19-AN19-AO19-AP19)*AE5</f>
        <v>5542.25173304069</v>
      </c>
      <c r="AR19" s="11">
        <f>(AJ19-AK19-AL19-AM19-AN19-AO19-AP19-AQ19)*AE5</f>
        <v>4803.28483530194</v>
      </c>
      <c r="AS19" s="11">
        <f>(AJ19-AK19-AL19-AM19-AN19-AO19-AP19-AQ19-AR19)*AE5</f>
        <v>4162.84685726168</v>
      </c>
      <c r="AT19" s="11">
        <f>(AJ19-AK19-AL19-AM19-AN19-AO19-AP19-AQ19-AR19-AS19)*AE5</f>
        <v>3607.80060962679</v>
      </c>
      <c r="AU19" s="11">
        <f>3/12*2047.79</f>
        <v>511.9475</v>
      </c>
      <c r="AV19" s="11"/>
      <c r="AW19" s="11"/>
      <c r="AX19" s="11">
        <f t="shared" si="8"/>
        <v>75153.5512297335</v>
      </c>
      <c r="AY19" s="11"/>
      <c r="AZ19" s="11"/>
      <c r="BA19" s="11">
        <f t="shared" si="9"/>
        <v>22938.7564625742</v>
      </c>
    </row>
    <row r="20" s="33" customFormat="1" ht="15" customHeight="1" spans="1:53">
      <c r="A20" s="8">
        <v>15</v>
      </c>
      <c r="B20" s="8" t="s">
        <v>35</v>
      </c>
      <c r="C20" s="8" t="s">
        <v>36</v>
      </c>
      <c r="D20" s="10" t="s">
        <v>34</v>
      </c>
      <c r="E20" s="8" t="s">
        <v>156</v>
      </c>
      <c r="F20" s="8" t="s">
        <v>153</v>
      </c>
      <c r="G20" s="42">
        <v>42130</v>
      </c>
      <c r="H20" s="43">
        <v>90000</v>
      </c>
      <c r="I20" s="11">
        <v>774997</v>
      </c>
      <c r="J20" s="11">
        <v>500000</v>
      </c>
      <c r="K20" s="8">
        <v>19</v>
      </c>
      <c r="L20" s="50">
        <v>45382</v>
      </c>
      <c r="M20" s="51">
        <f t="shared" ref="M20:M32" si="19">(L20-G20)/365*12</f>
        <v>106.915068493151</v>
      </c>
      <c r="N20" s="52">
        <f t="shared" ref="N20:N32" si="20">180-(L20-G20)/365*12</f>
        <v>73.0849315068493</v>
      </c>
      <c r="O20" s="11">
        <f t="shared" si="0"/>
        <v>-274997</v>
      </c>
      <c r="P20" s="42">
        <v>43557</v>
      </c>
      <c r="Q20" s="42">
        <v>45748</v>
      </c>
      <c r="R20" s="11">
        <f t="shared" si="14"/>
        <v>12.0328767123288</v>
      </c>
      <c r="S20" s="11">
        <v>720</v>
      </c>
      <c r="T20" s="11">
        <f t="shared" si="1"/>
        <v>98092.3076923077</v>
      </c>
      <c r="U20" s="61">
        <v>0</v>
      </c>
      <c r="V20" s="11">
        <v>0</v>
      </c>
      <c r="W20" s="11">
        <f t="shared" si="4"/>
        <v>98092.3076923077</v>
      </c>
      <c r="X20" s="61">
        <f t="shared" si="5"/>
        <v>0.311212406092912</v>
      </c>
      <c r="Y20" s="11">
        <f t="shared" si="6"/>
        <v>30527.5430961293</v>
      </c>
      <c r="Z20" s="11">
        <f t="shared" si="15"/>
        <v>98092.3076923077</v>
      </c>
      <c r="AA20" s="61">
        <f t="shared" si="17"/>
        <v>0.406027397260274</v>
      </c>
      <c r="AB20" s="11">
        <f t="shared" si="10"/>
        <v>39828.1643835616</v>
      </c>
      <c r="AC20" s="70"/>
      <c r="AD20" s="69"/>
      <c r="AE20" s="69"/>
      <c r="AF20" s="11">
        <v>90000</v>
      </c>
      <c r="AG20" s="11">
        <f t="shared" si="7"/>
        <v>76923.0769230769</v>
      </c>
      <c r="AH20" s="11">
        <f t="shared" si="11"/>
        <v>7692.30769230769</v>
      </c>
      <c r="AI20" s="11">
        <v>400</v>
      </c>
      <c r="AJ20" s="11">
        <f t="shared" si="12"/>
        <v>98092.3076923077</v>
      </c>
      <c r="AK20" s="11">
        <f>AJ20*AE5</f>
        <v>13078.9743589743</v>
      </c>
      <c r="AL20" s="11">
        <f>(AJ20-AK20)*AE5</f>
        <v>11335.1111111111</v>
      </c>
      <c r="AM20" s="11">
        <f>(AJ20-AK20-AL20)*AE5</f>
        <v>9823.76296296295</v>
      </c>
      <c r="AN20" s="11">
        <f>(AJ20-AK20-AL20-AM20)*AE5</f>
        <v>8513.92790123456</v>
      </c>
      <c r="AO20" s="11">
        <f>(AJ20-AK20-AL20-AM20-AN20)*AE5</f>
        <v>7378.73751440328</v>
      </c>
      <c r="AP20" s="11">
        <f>(AJ20-AK20-AL20-AM20-AN20-AO20)*AE5</f>
        <v>6394.90584581618</v>
      </c>
      <c r="AQ20" s="11">
        <f>(AJ20-AK20-AL20-AM20-AN20-AO20-AP20)*AE5</f>
        <v>5542.25173304069</v>
      </c>
      <c r="AR20" s="11">
        <f>(AJ20-AK20-AL20-AM20-AN20-AO20-AP20-AQ20)*AE5</f>
        <v>4803.28483530194</v>
      </c>
      <c r="AS20" s="11">
        <f>2/12*4162.85</f>
        <v>693.808333333333</v>
      </c>
      <c r="AT20" s="11"/>
      <c r="AU20" s="11"/>
      <c r="AV20" s="11"/>
      <c r="AW20" s="11"/>
      <c r="AX20" s="11">
        <f t="shared" si="8"/>
        <v>67564.7645961783</v>
      </c>
      <c r="AY20" s="11"/>
      <c r="AZ20" s="11"/>
      <c r="BA20" s="11">
        <f t="shared" si="9"/>
        <v>30527.5430961293</v>
      </c>
    </row>
    <row r="21" s="33" customFormat="1" ht="15" customHeight="1" spans="1:53">
      <c r="A21" s="8">
        <v>16</v>
      </c>
      <c r="B21" s="8" t="s">
        <v>37</v>
      </c>
      <c r="C21" s="8" t="s">
        <v>38</v>
      </c>
      <c r="D21" s="10" t="s">
        <v>34</v>
      </c>
      <c r="E21" s="8" t="s">
        <v>157</v>
      </c>
      <c r="F21" s="8" t="s">
        <v>153</v>
      </c>
      <c r="G21" s="42">
        <v>41652</v>
      </c>
      <c r="H21" s="43">
        <v>102000</v>
      </c>
      <c r="I21" s="11">
        <v>744348</v>
      </c>
      <c r="J21" s="11">
        <v>500000</v>
      </c>
      <c r="K21" s="8">
        <v>19</v>
      </c>
      <c r="L21" s="50">
        <v>45382</v>
      </c>
      <c r="M21" s="51">
        <f t="shared" si="19"/>
        <v>122.630136986301</v>
      </c>
      <c r="N21" s="52">
        <f t="shared" si="20"/>
        <v>57.3698630136986</v>
      </c>
      <c r="O21" s="11">
        <f t="shared" si="0"/>
        <v>-244348</v>
      </c>
      <c r="P21" s="42">
        <v>44562</v>
      </c>
      <c r="Q21" s="42">
        <v>46012</v>
      </c>
      <c r="R21" s="11">
        <f t="shared" si="14"/>
        <v>20.7123287671233</v>
      </c>
      <c r="S21" s="11">
        <v>720</v>
      </c>
      <c r="T21" s="11">
        <f t="shared" si="1"/>
        <v>190357.264957265</v>
      </c>
      <c r="U21" s="61">
        <v>0</v>
      </c>
      <c r="V21" s="11">
        <v>0</v>
      </c>
      <c r="W21" s="11">
        <f t="shared" si="4"/>
        <v>190357.264957265</v>
      </c>
      <c r="X21" s="61">
        <f t="shared" si="5"/>
        <v>0.257457549082558</v>
      </c>
      <c r="Y21" s="11">
        <f t="shared" si="6"/>
        <v>49008.9148859565</v>
      </c>
      <c r="Z21" s="11">
        <f t="shared" si="15"/>
        <v>190357.264957265</v>
      </c>
      <c r="AA21" s="61">
        <f t="shared" si="17"/>
        <v>0.318721461187215</v>
      </c>
      <c r="AB21" s="11">
        <f t="shared" si="10"/>
        <v>60670.9456347813</v>
      </c>
      <c r="AC21" s="8"/>
      <c r="AD21" s="69"/>
      <c r="AE21" s="69"/>
      <c r="AF21" s="11">
        <v>175000</v>
      </c>
      <c r="AG21" s="11">
        <f t="shared" si="7"/>
        <v>149572.64957265</v>
      </c>
      <c r="AH21" s="11">
        <f t="shared" si="11"/>
        <v>14957.264957265</v>
      </c>
      <c r="AI21" s="11">
        <v>400</v>
      </c>
      <c r="AJ21" s="11">
        <f t="shared" si="12"/>
        <v>190357.264957265</v>
      </c>
      <c r="AK21" s="11">
        <f>AJ21*AE5</f>
        <v>25380.9686609686</v>
      </c>
      <c r="AL21" s="11">
        <f>(AJ21-AK21)*AE5</f>
        <v>21996.8395061728</v>
      </c>
      <c r="AM21" s="11">
        <f>(AJ21-AK21-AL21)*AE5</f>
        <v>19063.9275720164</v>
      </c>
      <c r="AN21" s="11">
        <f>(AJ21-AK21-AL21-AM21)*AE5</f>
        <v>16522.0705624142</v>
      </c>
      <c r="AO21" s="11">
        <f>(AJ21-AK21-AL21-AM21-AN21)*AE5</f>
        <v>14319.127820759</v>
      </c>
      <c r="AP21" s="11">
        <f>(AJ21-AK21-AL21-AM21-AN21-AO21)*AE5</f>
        <v>12409.9107779912</v>
      </c>
      <c r="AQ21" s="11">
        <f>(AJ21-AK21-AL21-AM21-AN21-AO21-AP21)*AE5</f>
        <v>10755.2560075923</v>
      </c>
      <c r="AR21" s="11">
        <f>(AJ21-AK21-AL21-AM21-AN21-AO21-AP21-AQ21)*AE5</f>
        <v>9321.2218732467</v>
      </c>
      <c r="AS21" s="11">
        <f>(AJ21-AK21-AL21-AM21-AN21-AO21-AP21-AQ21-AR21)*AE5</f>
        <v>8078.39229014714</v>
      </c>
      <c r="AT21" s="11">
        <f>6/12*7001.27</f>
        <v>3500.635</v>
      </c>
      <c r="AU21" s="11"/>
      <c r="AV21" s="11"/>
      <c r="AW21" s="11"/>
      <c r="AX21" s="11">
        <f t="shared" si="8"/>
        <v>141348.350071308</v>
      </c>
      <c r="AY21" s="11"/>
      <c r="AZ21" s="11"/>
      <c r="BA21" s="11">
        <f t="shared" si="9"/>
        <v>49008.9148859565</v>
      </c>
    </row>
    <row r="22" s="33" customFormat="1" ht="15" customHeight="1" spans="1:53">
      <c r="A22" s="8">
        <v>17</v>
      </c>
      <c r="B22" s="8" t="s">
        <v>39</v>
      </c>
      <c r="C22" s="8" t="s">
        <v>40</v>
      </c>
      <c r="D22" s="10" t="s">
        <v>34</v>
      </c>
      <c r="E22" s="8" t="s">
        <v>154</v>
      </c>
      <c r="F22" s="8" t="s">
        <v>153</v>
      </c>
      <c r="G22" s="42">
        <v>41397</v>
      </c>
      <c r="H22" s="43">
        <v>90000</v>
      </c>
      <c r="I22" s="11">
        <v>494338</v>
      </c>
      <c r="J22" s="11">
        <v>500000</v>
      </c>
      <c r="K22" s="8">
        <v>19</v>
      </c>
      <c r="L22" s="50">
        <v>45382</v>
      </c>
      <c r="M22" s="51">
        <f t="shared" si="19"/>
        <v>131.013698630137</v>
      </c>
      <c r="N22" s="52">
        <f t="shared" si="20"/>
        <v>48.986301369863</v>
      </c>
      <c r="O22" s="11">
        <f t="shared" si="0"/>
        <v>5662</v>
      </c>
      <c r="P22" s="42">
        <v>44562</v>
      </c>
      <c r="Q22" s="42">
        <v>46022</v>
      </c>
      <c r="R22" s="11">
        <f t="shared" si="14"/>
        <v>21.041095890411</v>
      </c>
      <c r="S22" s="11">
        <v>720</v>
      </c>
      <c r="T22" s="11">
        <f t="shared" si="1"/>
        <v>98092.3076923077</v>
      </c>
      <c r="U22" s="61">
        <f t="shared" ref="U22:U64" si="21">O22/J22</f>
        <v>0.011324</v>
      </c>
      <c r="V22" s="11">
        <f t="shared" ref="V22:V64" si="22">T22*U22</f>
        <v>1110.79729230769</v>
      </c>
      <c r="W22" s="11">
        <f t="shared" si="4"/>
        <v>98092.3076923077</v>
      </c>
      <c r="X22" s="61">
        <f t="shared" si="5"/>
        <v>0.231098793533144</v>
      </c>
      <c r="Y22" s="11">
        <f t="shared" si="6"/>
        <v>22669.0139625742</v>
      </c>
      <c r="Z22" s="11">
        <f t="shared" si="15"/>
        <v>98092.3076923077</v>
      </c>
      <c r="AA22" s="61">
        <f t="shared" si="17"/>
        <v>0.272146118721461</v>
      </c>
      <c r="AB22" s="11">
        <f t="shared" si="10"/>
        <v>26695.4408148929</v>
      </c>
      <c r="AC22" s="8"/>
      <c r="AD22" s="69"/>
      <c r="AE22" s="69"/>
      <c r="AF22" s="11">
        <v>90000</v>
      </c>
      <c r="AG22" s="11">
        <f t="shared" si="7"/>
        <v>76923.0769230769</v>
      </c>
      <c r="AH22" s="11">
        <f t="shared" si="11"/>
        <v>7692.30769230769</v>
      </c>
      <c r="AI22" s="11">
        <v>400</v>
      </c>
      <c r="AJ22" s="11">
        <f t="shared" si="12"/>
        <v>98092.3076923077</v>
      </c>
      <c r="AK22" s="11">
        <f>AJ22*AE5</f>
        <v>13078.9743589743</v>
      </c>
      <c r="AL22" s="11">
        <f>(AJ22-AK22)*AE5</f>
        <v>11335.1111111111</v>
      </c>
      <c r="AM22" s="11">
        <f>(AJ22-AK22-AL22)*AE5</f>
        <v>9823.76296296295</v>
      </c>
      <c r="AN22" s="11">
        <f>(AJ22-AK22-AL22-AM22)*AE5</f>
        <v>8513.92790123456</v>
      </c>
      <c r="AO22" s="11">
        <f>(AJ22-AK22-AL22-AM22-AN22)*AE5</f>
        <v>7378.73751440328</v>
      </c>
      <c r="AP22" s="11">
        <f>(AJ22-AK22-AL22-AM22-AN22-AO22)*AE5</f>
        <v>6394.90584581618</v>
      </c>
      <c r="AQ22" s="11">
        <f>(AJ22-AK22-AL22-AM22-AN22-AO22-AP22)*AE5</f>
        <v>5542.25173304069</v>
      </c>
      <c r="AR22" s="11">
        <f>(AJ22-AK22-AL22-AM22-AN22-AO22-AP22-AQ22)*AE5</f>
        <v>4803.28483530194</v>
      </c>
      <c r="AS22" s="11">
        <f>(AJ22-AK22-AL22-AM22-AN22-AO22-AP22-AQ22-AR22)*AE5</f>
        <v>4162.84685726168</v>
      </c>
      <c r="AT22" s="11">
        <f>(AJ22-AK22-AL22-AM22-AN22-AO22-AP22-AQ22-AR22-AS22)*AE5</f>
        <v>3607.80060962679</v>
      </c>
      <c r="AU22" s="11">
        <f>3/12*3126.76</f>
        <v>781.69</v>
      </c>
      <c r="AV22" s="11"/>
      <c r="AW22" s="11"/>
      <c r="AX22" s="11">
        <f t="shared" si="8"/>
        <v>75423.2937297335</v>
      </c>
      <c r="AY22" s="11"/>
      <c r="AZ22" s="11"/>
      <c r="BA22" s="11">
        <f t="shared" si="9"/>
        <v>22669.0139625742</v>
      </c>
    </row>
    <row r="23" s="33" customFormat="1" ht="15" customHeight="1" spans="1:53">
      <c r="A23" s="8">
        <v>18</v>
      </c>
      <c r="B23" s="8" t="s">
        <v>41</v>
      </c>
      <c r="C23" s="8" t="s">
        <v>42</v>
      </c>
      <c r="D23" s="10" t="s">
        <v>43</v>
      </c>
      <c r="E23" s="8" t="s">
        <v>154</v>
      </c>
      <c r="F23" s="8" t="s">
        <v>153</v>
      </c>
      <c r="G23" s="42">
        <v>41121</v>
      </c>
      <c r="H23" s="43">
        <v>80000</v>
      </c>
      <c r="I23" s="11">
        <f>52*2*340*10.92</f>
        <v>386131.2</v>
      </c>
      <c r="J23" s="11">
        <v>500000</v>
      </c>
      <c r="K23" s="8">
        <v>19</v>
      </c>
      <c r="L23" s="50">
        <v>45382</v>
      </c>
      <c r="M23" s="51">
        <f t="shared" si="19"/>
        <v>140.087671232877</v>
      </c>
      <c r="N23" s="52">
        <f t="shared" si="20"/>
        <v>39.9123287671233</v>
      </c>
      <c r="O23" s="11">
        <f t="shared" si="0"/>
        <v>113868.8</v>
      </c>
      <c r="P23" s="53">
        <v>43346</v>
      </c>
      <c r="Q23" s="53">
        <v>45537</v>
      </c>
      <c r="R23" s="11">
        <f t="shared" si="14"/>
        <v>5.0958904109589</v>
      </c>
      <c r="S23" s="11">
        <v>720</v>
      </c>
      <c r="T23" s="11">
        <f t="shared" si="1"/>
        <v>87237.6068376068</v>
      </c>
      <c r="U23" s="61">
        <f t="shared" si="21"/>
        <v>0.2277376</v>
      </c>
      <c r="V23" s="11">
        <f t="shared" si="22"/>
        <v>19867.2832109402</v>
      </c>
      <c r="W23" s="11">
        <f t="shared" si="4"/>
        <v>87237.6068376068</v>
      </c>
      <c r="X23" s="61">
        <f t="shared" si="5"/>
        <v>0.207192020581087</v>
      </c>
      <c r="Y23" s="11">
        <f t="shared" si="6"/>
        <v>18074.9360313423</v>
      </c>
      <c r="Z23" s="11">
        <f t="shared" si="15"/>
        <v>87237.6068376068</v>
      </c>
      <c r="AA23" s="61">
        <f t="shared" si="17"/>
        <v>0.221735159817352</v>
      </c>
      <c r="AB23" s="11">
        <f t="shared" si="10"/>
        <v>19343.64469422</v>
      </c>
      <c r="AC23" s="8"/>
      <c r="AD23" s="69"/>
      <c r="AE23" s="69"/>
      <c r="AF23" s="11">
        <v>80000</v>
      </c>
      <c r="AG23" s="11">
        <f t="shared" si="7"/>
        <v>68376.0683760684</v>
      </c>
      <c r="AH23" s="11">
        <f t="shared" si="11"/>
        <v>6837.60683760684</v>
      </c>
      <c r="AI23" s="11">
        <v>400</v>
      </c>
      <c r="AJ23" s="11">
        <f t="shared" si="12"/>
        <v>87237.6068376068</v>
      </c>
      <c r="AK23" s="11">
        <f>AJ23*AE5</f>
        <v>11631.6809116809</v>
      </c>
      <c r="AL23" s="11">
        <f>(AJ23-AK23)*AE5</f>
        <v>10080.7901234568</v>
      </c>
      <c r="AM23" s="11">
        <f>(AJ23-AK23-AL23)*AE5</f>
        <v>8736.68477366254</v>
      </c>
      <c r="AN23" s="11">
        <f>(AJ23-AK23-AL23-AM23)*AE5</f>
        <v>7571.79347050753</v>
      </c>
      <c r="AO23" s="11">
        <f>(AJ23-AK23-AL23-AM23-AN23)*AE5</f>
        <v>6562.2210077732</v>
      </c>
      <c r="AP23" s="11">
        <f>(AJ23-AK23-AL23-AM23-AN23-AO23)*AE5</f>
        <v>5687.25820673677</v>
      </c>
      <c r="AQ23" s="11">
        <f>(AJ23-AK23-AL23-AM23-AN23-AO23-AP23)*AE5</f>
        <v>4928.95711250521</v>
      </c>
      <c r="AR23" s="11">
        <f>(AJ23-AK23-AL23-AM23-AN23-AO23-AP23-AQ23)*AE5</f>
        <v>4271.76283083785</v>
      </c>
      <c r="AS23" s="11">
        <f>(AJ23-AK23-AL23-AM23-AN23-AO23-AP23-AQ23-AR23)*AE5</f>
        <v>3702.1944533928</v>
      </c>
      <c r="AT23" s="11">
        <f>(AJ23-AK23-AL23-AM23-AN23-AO23-AP23-AQ23-AR23-AS23)*AE5</f>
        <v>3208.56852627376</v>
      </c>
      <c r="AU23" s="11">
        <f>(AJ23-AK23-AL23-AM23-AN23-AO23-AP23-AQ23-AR23-AS23-AT23)*AE5</f>
        <v>2780.75938943726</v>
      </c>
      <c r="AV23" s="11"/>
      <c r="AW23" s="11"/>
      <c r="AX23" s="11">
        <f t="shared" si="8"/>
        <v>69162.6708062646</v>
      </c>
      <c r="AY23" s="11"/>
      <c r="AZ23" s="11"/>
      <c r="BA23" s="11">
        <f t="shared" si="9"/>
        <v>18074.9360313423</v>
      </c>
    </row>
    <row r="24" s="33" customFormat="1" ht="15" customHeight="1" spans="1:53">
      <c r="A24" s="8">
        <v>19</v>
      </c>
      <c r="B24" s="8" t="s">
        <v>41</v>
      </c>
      <c r="C24" s="8" t="s">
        <v>44</v>
      </c>
      <c r="D24" s="10" t="s">
        <v>43</v>
      </c>
      <c r="E24" s="8" t="s">
        <v>154</v>
      </c>
      <c r="F24" s="8" t="s">
        <v>153</v>
      </c>
      <c r="G24" s="42">
        <v>41061</v>
      </c>
      <c r="H24" s="43">
        <v>80000</v>
      </c>
      <c r="I24" s="11">
        <v>143932</v>
      </c>
      <c r="J24" s="11">
        <v>500000</v>
      </c>
      <c r="K24" s="8">
        <v>19</v>
      </c>
      <c r="L24" s="50">
        <v>45382</v>
      </c>
      <c r="M24" s="51">
        <f t="shared" si="19"/>
        <v>142.060273972603</v>
      </c>
      <c r="N24" s="52">
        <f t="shared" si="20"/>
        <v>37.9397260273973</v>
      </c>
      <c r="O24" s="11">
        <f t="shared" si="0"/>
        <v>356068</v>
      </c>
      <c r="P24" s="42">
        <v>43346</v>
      </c>
      <c r="Q24" s="42">
        <v>45537</v>
      </c>
      <c r="R24" s="11">
        <f t="shared" si="14"/>
        <v>5.0958904109589</v>
      </c>
      <c r="S24" s="11">
        <v>720</v>
      </c>
      <c r="T24" s="11">
        <f t="shared" si="1"/>
        <v>87237.6068376068</v>
      </c>
      <c r="U24" s="61">
        <f t="shared" si="21"/>
        <v>0.712136</v>
      </c>
      <c r="V24" s="11">
        <f t="shared" si="22"/>
        <v>62125.040382906</v>
      </c>
      <c r="W24" s="11">
        <f t="shared" si="4"/>
        <v>87237.6068376068</v>
      </c>
      <c r="X24" s="61">
        <f t="shared" si="5"/>
        <v>0.202587756267101</v>
      </c>
      <c r="Y24" s="11">
        <f t="shared" si="6"/>
        <v>17673.2710313423</v>
      </c>
      <c r="Z24" s="11">
        <f t="shared" si="15"/>
        <v>87237.6068376068</v>
      </c>
      <c r="AA24" s="61">
        <f t="shared" si="17"/>
        <v>0.210776255707763</v>
      </c>
      <c r="AB24" s="11">
        <f t="shared" si="10"/>
        <v>18387.6161261367</v>
      </c>
      <c r="AC24" s="8"/>
      <c r="AD24" s="69"/>
      <c r="AE24" s="69"/>
      <c r="AF24" s="11">
        <v>80000</v>
      </c>
      <c r="AG24" s="11">
        <f t="shared" si="7"/>
        <v>68376.0683760684</v>
      </c>
      <c r="AH24" s="11">
        <f t="shared" si="11"/>
        <v>6837.60683760684</v>
      </c>
      <c r="AI24" s="11">
        <v>400</v>
      </c>
      <c r="AJ24" s="11">
        <f t="shared" si="12"/>
        <v>87237.6068376068</v>
      </c>
      <c r="AK24" s="11">
        <f>AJ24*AE5</f>
        <v>11631.6809116809</v>
      </c>
      <c r="AL24" s="11">
        <f>(AJ24-AK24)*AE5</f>
        <v>10080.7901234568</v>
      </c>
      <c r="AM24" s="11">
        <f>(AJ24-AK24-AL24)*AE5</f>
        <v>8736.68477366254</v>
      </c>
      <c r="AN24" s="11">
        <f>(AJ24-AK24-AL24-AM24)*AE5</f>
        <v>7571.79347050753</v>
      </c>
      <c r="AO24" s="11">
        <f>(AJ24-AK24-AL24-AM24-AN24)*AE5</f>
        <v>6562.2210077732</v>
      </c>
      <c r="AP24" s="11">
        <f>(AJ24-AK24-AL24-AM24-AN24-AO24)*AE5</f>
        <v>5687.25820673677</v>
      </c>
      <c r="AQ24" s="11">
        <f>(AJ24-AK24-AL24-AM24-AN24-AO24-AP24)*AE5</f>
        <v>4928.95711250521</v>
      </c>
      <c r="AR24" s="11">
        <f>(AJ24-AK24-AL24-AM24-AN24-AO24-AP24-AQ24)*AE5</f>
        <v>4271.76283083785</v>
      </c>
      <c r="AS24" s="11">
        <f>(AJ24-AK24-AL24-AM24-AN24-AO24-AP24-AQ24-AR24)*AE5</f>
        <v>3702.1944533928</v>
      </c>
      <c r="AT24" s="11">
        <f>(AJ24-AK24-AL24-AM24-AN24-AO24-AP24-AQ24-AR24-AS24)*AE5</f>
        <v>3208.56852627376</v>
      </c>
      <c r="AU24" s="11">
        <f>(AJ24-AK24-AL24-AM24-AN24-AO24-AP24-AQ24-AR24-AS24-AT24)*AE5</f>
        <v>2780.75938943726</v>
      </c>
      <c r="AV24" s="11">
        <f>2/12*2409.99</f>
        <v>401.665</v>
      </c>
      <c r="AW24" s="11"/>
      <c r="AX24" s="11">
        <f t="shared" si="8"/>
        <v>69564.3358062646</v>
      </c>
      <c r="AY24" s="11"/>
      <c r="AZ24" s="11"/>
      <c r="BA24" s="11">
        <f t="shared" si="9"/>
        <v>17673.2710313423</v>
      </c>
    </row>
    <row r="25" s="33" customFormat="1" ht="15" customHeight="1" spans="1:53">
      <c r="A25" s="8">
        <v>20</v>
      </c>
      <c r="B25" s="8" t="s">
        <v>41</v>
      </c>
      <c r="C25" s="8" t="s">
        <v>45</v>
      </c>
      <c r="D25" s="10" t="s">
        <v>43</v>
      </c>
      <c r="E25" s="8" t="s">
        <v>158</v>
      </c>
      <c r="F25" s="44" t="s">
        <v>151</v>
      </c>
      <c r="G25" s="42">
        <v>43068</v>
      </c>
      <c r="H25" s="43">
        <v>238000</v>
      </c>
      <c r="I25" s="11">
        <v>160188</v>
      </c>
      <c r="J25" s="11">
        <v>600000</v>
      </c>
      <c r="K25" s="8">
        <v>23</v>
      </c>
      <c r="L25" s="50">
        <v>45382</v>
      </c>
      <c r="M25" s="51">
        <f t="shared" si="19"/>
        <v>76.0767123287671</v>
      </c>
      <c r="N25" s="52">
        <f t="shared" si="20"/>
        <v>103.923287671233</v>
      </c>
      <c r="O25" s="11">
        <f t="shared" si="0"/>
        <v>439812</v>
      </c>
      <c r="P25" s="42">
        <v>45058</v>
      </c>
      <c r="Q25" s="42">
        <v>46377</v>
      </c>
      <c r="R25" s="11">
        <f t="shared" si="14"/>
        <v>32.7123287671233</v>
      </c>
      <c r="S25" s="11">
        <v>720</v>
      </c>
      <c r="T25" s="11">
        <f t="shared" si="1"/>
        <v>258741.88034188</v>
      </c>
      <c r="U25" s="61">
        <f t="shared" si="21"/>
        <v>0.73302</v>
      </c>
      <c r="V25" s="11">
        <f t="shared" si="22"/>
        <v>189662.973128205</v>
      </c>
      <c r="W25" s="11">
        <f t="shared" si="4"/>
        <v>258741.88034188</v>
      </c>
      <c r="X25" s="61">
        <f t="shared" si="5"/>
        <v>0.445483693230491</v>
      </c>
      <c r="Y25" s="11">
        <f t="shared" si="6"/>
        <v>115265.288448103</v>
      </c>
      <c r="Z25" s="11">
        <f t="shared" si="15"/>
        <v>258741.88034188</v>
      </c>
      <c r="AA25" s="61">
        <f t="shared" si="17"/>
        <v>0.577351598173516</v>
      </c>
      <c r="AB25" s="11">
        <f t="shared" si="10"/>
        <v>149385.038129805</v>
      </c>
      <c r="AC25" s="8"/>
      <c r="AD25" s="69"/>
      <c r="AE25" s="69"/>
      <c r="AF25" s="11">
        <v>238000</v>
      </c>
      <c r="AG25" s="11">
        <f t="shared" si="7"/>
        <v>203418.803418803</v>
      </c>
      <c r="AH25" s="11">
        <f t="shared" si="11"/>
        <v>20341.8803418803</v>
      </c>
      <c r="AI25" s="11">
        <v>400</v>
      </c>
      <c r="AJ25" s="11">
        <f t="shared" si="12"/>
        <v>258741.88034188</v>
      </c>
      <c r="AK25" s="11">
        <f>AJ25*AE5</f>
        <v>34498.9173789173</v>
      </c>
      <c r="AL25" s="11">
        <f>(AJ25-AK25)*AE5</f>
        <v>29899.061728395</v>
      </c>
      <c r="AM25" s="11">
        <f>(AJ25-AK25-AL25)*AE5</f>
        <v>25912.520164609</v>
      </c>
      <c r="AN25" s="11">
        <f>(AJ25-AK25-AL25-AM25)*AE5</f>
        <v>22457.5174759945</v>
      </c>
      <c r="AO25" s="11">
        <f>(AJ25-AK25-AL25-AM25-AN25)*AE5</f>
        <v>19463.1818125286</v>
      </c>
      <c r="AP25" s="11">
        <f>8/12*16868.09</f>
        <v>11245.3933333333</v>
      </c>
      <c r="AQ25" s="11"/>
      <c r="AR25" s="11"/>
      <c r="AS25" s="11"/>
      <c r="AT25" s="11"/>
      <c r="AU25" s="11"/>
      <c r="AV25" s="11"/>
      <c r="AW25" s="11"/>
      <c r="AX25" s="11">
        <f t="shared" si="8"/>
        <v>143476.591893778</v>
      </c>
      <c r="AY25" s="11"/>
      <c r="AZ25" s="11"/>
      <c r="BA25" s="11">
        <f t="shared" si="9"/>
        <v>115265.288448103</v>
      </c>
    </row>
    <row r="26" s="33" customFormat="1" ht="15" customHeight="1" spans="1:53">
      <c r="A26" s="8">
        <v>21</v>
      </c>
      <c r="B26" s="8" t="s">
        <v>41</v>
      </c>
      <c r="C26" s="8" t="s">
        <v>46</v>
      </c>
      <c r="D26" s="10" t="s">
        <v>47</v>
      </c>
      <c r="E26" s="8" t="s">
        <v>157</v>
      </c>
      <c r="F26" s="8" t="s">
        <v>153</v>
      </c>
      <c r="G26" s="42">
        <v>41794</v>
      </c>
      <c r="H26" s="43">
        <v>175000</v>
      </c>
      <c r="I26" s="11">
        <v>488572</v>
      </c>
      <c r="J26" s="11">
        <v>500000</v>
      </c>
      <c r="K26" s="8">
        <v>19</v>
      </c>
      <c r="L26" s="50">
        <v>45382</v>
      </c>
      <c r="M26" s="51">
        <f t="shared" si="19"/>
        <v>117.961643835616</v>
      </c>
      <c r="N26" s="52">
        <f t="shared" si="20"/>
        <v>62.0383561643836</v>
      </c>
      <c r="O26" s="11">
        <f t="shared" si="0"/>
        <v>11428</v>
      </c>
      <c r="P26" s="53">
        <v>44012</v>
      </c>
      <c r="Q26" s="53">
        <v>45472</v>
      </c>
      <c r="R26" s="11">
        <f t="shared" si="14"/>
        <v>2.95890410958904</v>
      </c>
      <c r="S26" s="11">
        <v>720</v>
      </c>
      <c r="T26" s="11">
        <f t="shared" si="1"/>
        <v>190357.264957265</v>
      </c>
      <c r="U26" s="61">
        <f t="shared" si="21"/>
        <v>0.022856</v>
      </c>
      <c r="V26" s="11">
        <f t="shared" si="22"/>
        <v>4350.80564786325</v>
      </c>
      <c r="W26" s="11">
        <f t="shared" si="4"/>
        <v>190357.264957265</v>
      </c>
      <c r="X26" s="61">
        <f t="shared" si="5"/>
        <v>0.26665245688076</v>
      </c>
      <c r="Y26" s="11">
        <f t="shared" si="6"/>
        <v>50759.2323859565</v>
      </c>
      <c r="Z26" s="11">
        <f t="shared" si="15"/>
        <v>190357.264957265</v>
      </c>
      <c r="AA26" s="61">
        <f t="shared" si="17"/>
        <v>0.344657534246575</v>
      </c>
      <c r="AB26" s="11">
        <f t="shared" si="10"/>
        <v>65608.065566093</v>
      </c>
      <c r="AC26" s="8"/>
      <c r="AD26" s="69"/>
      <c r="AE26" s="69"/>
      <c r="AF26" s="11">
        <v>175000</v>
      </c>
      <c r="AG26" s="11">
        <f t="shared" si="7"/>
        <v>149572.64957265</v>
      </c>
      <c r="AH26" s="11">
        <f t="shared" si="11"/>
        <v>14957.264957265</v>
      </c>
      <c r="AI26" s="11">
        <v>400</v>
      </c>
      <c r="AJ26" s="11">
        <f t="shared" si="12"/>
        <v>190357.264957265</v>
      </c>
      <c r="AK26" s="11">
        <f>AJ26*AE5</f>
        <v>25380.9686609686</v>
      </c>
      <c r="AL26" s="11">
        <f>(AJ26-AK26)*AE5</f>
        <v>21996.8395061728</v>
      </c>
      <c r="AM26" s="11">
        <f>(AJ26-AK26-AL26)*AE5</f>
        <v>19063.9275720164</v>
      </c>
      <c r="AN26" s="11">
        <f>(AJ26-AK26-AL26-AM26)*AE5</f>
        <v>16522.0705624142</v>
      </c>
      <c r="AO26" s="11">
        <f>(AJ26-AK26-AL26-AM26-AN26)*AE5</f>
        <v>14319.127820759</v>
      </c>
      <c r="AP26" s="11">
        <f>(AJ26-AK26-AL26-AM26-AN26-AO26)*AE5</f>
        <v>12409.9107779912</v>
      </c>
      <c r="AQ26" s="11">
        <f>(AJ26-AK26-AL26-AM26-AN26-AO26-AP26)*AE5</f>
        <v>10755.2560075923</v>
      </c>
      <c r="AR26" s="11">
        <f>(AJ26-AK26-AL26-AM26-AN26-AO26-AP26-AQ26)*AE5</f>
        <v>9321.2218732467</v>
      </c>
      <c r="AS26" s="11">
        <f>(AJ26-AK26-AL26-AM26-AN26-AO26-AP26-AQ26-AR26)*AE5</f>
        <v>8078.39229014714</v>
      </c>
      <c r="AT26" s="11">
        <f>3/12*7001.27</f>
        <v>1750.3175</v>
      </c>
      <c r="AU26" s="11"/>
      <c r="AV26" s="11"/>
      <c r="AW26" s="11"/>
      <c r="AX26" s="11">
        <f t="shared" si="8"/>
        <v>139598.032571308</v>
      </c>
      <c r="AY26" s="11"/>
      <c r="AZ26" s="11"/>
      <c r="BA26" s="11">
        <f t="shared" si="9"/>
        <v>50759.2323859565</v>
      </c>
    </row>
    <row r="27" s="33" customFormat="1" ht="15" customHeight="1" spans="1:53">
      <c r="A27" s="8">
        <v>22</v>
      </c>
      <c r="B27" s="8" t="s">
        <v>41</v>
      </c>
      <c r="C27" s="8" t="s">
        <v>48</v>
      </c>
      <c r="D27" s="10" t="s">
        <v>47</v>
      </c>
      <c r="E27" s="8" t="s">
        <v>157</v>
      </c>
      <c r="F27" s="8" t="s">
        <v>151</v>
      </c>
      <c r="G27" s="42">
        <v>42727</v>
      </c>
      <c r="H27" s="43">
        <v>200000</v>
      </c>
      <c r="I27" s="11">
        <v>407657</v>
      </c>
      <c r="J27" s="11">
        <v>600000</v>
      </c>
      <c r="K27" s="8">
        <v>30</v>
      </c>
      <c r="L27" s="50">
        <v>45382</v>
      </c>
      <c r="M27" s="51">
        <f t="shared" si="19"/>
        <v>87.2876712328767</v>
      </c>
      <c r="N27" s="52">
        <f t="shared" si="20"/>
        <v>92.7123287671233</v>
      </c>
      <c r="O27" s="11">
        <f t="shared" si="0"/>
        <v>192343</v>
      </c>
      <c r="P27" s="42">
        <v>45058</v>
      </c>
      <c r="Q27" s="42">
        <v>45788</v>
      </c>
      <c r="R27" s="11">
        <f t="shared" si="14"/>
        <v>13.3479452054795</v>
      </c>
      <c r="S27" s="11">
        <v>720</v>
      </c>
      <c r="T27" s="11">
        <f t="shared" si="1"/>
        <v>217494.017094017</v>
      </c>
      <c r="U27" s="61">
        <f t="shared" si="21"/>
        <v>0.320571666666667</v>
      </c>
      <c r="V27" s="11">
        <f t="shared" si="22"/>
        <v>69722.4195498575</v>
      </c>
      <c r="W27" s="11">
        <f t="shared" si="4"/>
        <v>217494.017094017</v>
      </c>
      <c r="X27" s="61">
        <f t="shared" si="5"/>
        <v>0.390794236523336</v>
      </c>
      <c r="Y27" s="11">
        <f t="shared" si="6"/>
        <v>84995.4083586498</v>
      </c>
      <c r="Z27" s="11">
        <f t="shared" si="15"/>
        <v>217494.017094017</v>
      </c>
      <c r="AA27" s="61">
        <f t="shared" si="17"/>
        <v>0.515068493150685</v>
      </c>
      <c r="AB27" s="11">
        <f t="shared" si="10"/>
        <v>112024.315653905</v>
      </c>
      <c r="AC27" s="8"/>
      <c r="AD27" s="69"/>
      <c r="AE27" s="69"/>
      <c r="AF27" s="11">
        <v>200000</v>
      </c>
      <c r="AG27" s="11">
        <f t="shared" si="7"/>
        <v>170940.170940171</v>
      </c>
      <c r="AH27" s="11">
        <f t="shared" si="11"/>
        <v>17094.0170940171</v>
      </c>
      <c r="AI27" s="11">
        <v>400</v>
      </c>
      <c r="AJ27" s="11">
        <f t="shared" si="12"/>
        <v>217494.017094017</v>
      </c>
      <c r="AK27" s="11">
        <f>AJ27*AE5</f>
        <v>28999.2022792022</v>
      </c>
      <c r="AL27" s="11">
        <f>(AJ27-AK27)*AE5</f>
        <v>25132.6419753086</v>
      </c>
      <c r="AM27" s="11">
        <f>(AJ27-AK27-AL27)*AE5</f>
        <v>21781.6230452674</v>
      </c>
      <c r="AN27" s="11">
        <f>(AJ27-AK27-AL27-AM27)*AE5</f>
        <v>18877.4066392318</v>
      </c>
      <c r="AO27" s="11">
        <f>(AJ27-AK27-AL27-AM27-AN27)*AE5</f>
        <v>16360.4190873342</v>
      </c>
      <c r="AP27" s="11">
        <f>(AJ27-AK27-AL27-AM27-AN27-AO27)*AE5</f>
        <v>14179.0298756897</v>
      </c>
      <c r="AQ27" s="11">
        <f>7/12*12288.49</f>
        <v>7168.28583333333</v>
      </c>
      <c r="AR27" s="11"/>
      <c r="AS27" s="11"/>
      <c r="AT27" s="11"/>
      <c r="AU27" s="11"/>
      <c r="AV27" s="11"/>
      <c r="AW27" s="11"/>
      <c r="AX27" s="11">
        <f t="shared" si="8"/>
        <v>132498.608735367</v>
      </c>
      <c r="AY27" s="11"/>
      <c r="AZ27" s="11"/>
      <c r="BA27" s="11">
        <f t="shared" si="9"/>
        <v>84995.4083586498</v>
      </c>
    </row>
    <row r="28" s="33" customFormat="1" ht="15" customHeight="1" spans="1:53">
      <c r="A28" s="8">
        <v>23</v>
      </c>
      <c r="B28" s="8" t="s">
        <v>49</v>
      </c>
      <c r="C28" s="8" t="s">
        <v>50</v>
      </c>
      <c r="D28" s="10" t="s">
        <v>51</v>
      </c>
      <c r="E28" s="8" t="s">
        <v>154</v>
      </c>
      <c r="F28" s="8" t="s">
        <v>153</v>
      </c>
      <c r="G28" s="42">
        <v>41122</v>
      </c>
      <c r="H28" s="43">
        <v>90000</v>
      </c>
      <c r="I28" s="11">
        <v>174844</v>
      </c>
      <c r="J28" s="11">
        <v>500000</v>
      </c>
      <c r="K28" s="8">
        <v>19</v>
      </c>
      <c r="L28" s="50">
        <v>45382</v>
      </c>
      <c r="M28" s="51">
        <f t="shared" si="19"/>
        <v>140.054794520548</v>
      </c>
      <c r="N28" s="52">
        <f t="shared" si="20"/>
        <v>39.9452054794521</v>
      </c>
      <c r="O28" s="11">
        <f t="shared" si="0"/>
        <v>325156</v>
      </c>
      <c r="P28" s="53">
        <v>44980</v>
      </c>
      <c r="Q28" s="53">
        <v>46440</v>
      </c>
      <c r="R28" s="11">
        <f t="shared" si="14"/>
        <v>34.7835616438356</v>
      </c>
      <c r="S28" s="11">
        <v>720</v>
      </c>
      <c r="T28" s="11">
        <f t="shared" si="1"/>
        <v>98092.3076923077</v>
      </c>
      <c r="U28" s="61">
        <f t="shared" si="21"/>
        <v>0.650312</v>
      </c>
      <c r="V28" s="11">
        <f t="shared" si="22"/>
        <v>63790.6048</v>
      </c>
      <c r="W28" s="11">
        <f t="shared" si="4"/>
        <v>98092.3076923077</v>
      </c>
      <c r="X28" s="61">
        <f t="shared" si="5"/>
        <v>0.207192020581088</v>
      </c>
      <c r="Y28" s="11">
        <f t="shared" si="6"/>
        <v>20323.943434231</v>
      </c>
      <c r="Z28" s="11">
        <f t="shared" si="15"/>
        <v>98092.3076923077</v>
      </c>
      <c r="AA28" s="61">
        <f t="shared" si="17"/>
        <v>0.221917808219178</v>
      </c>
      <c r="AB28" s="11">
        <f t="shared" si="10"/>
        <v>21768.4299262381</v>
      </c>
      <c r="AC28" s="8"/>
      <c r="AD28" s="69"/>
      <c r="AE28" s="69"/>
      <c r="AF28" s="11">
        <v>90000</v>
      </c>
      <c r="AG28" s="11">
        <f t="shared" si="7"/>
        <v>76923.0769230769</v>
      </c>
      <c r="AH28" s="11">
        <f t="shared" si="11"/>
        <v>7692.30769230769</v>
      </c>
      <c r="AI28" s="11">
        <v>400</v>
      </c>
      <c r="AJ28" s="11">
        <f t="shared" si="12"/>
        <v>98092.3076923077</v>
      </c>
      <c r="AK28" s="11">
        <f>AJ28*AE5</f>
        <v>13078.9743589743</v>
      </c>
      <c r="AL28" s="11">
        <f>(AJ28-AK28)*AE5</f>
        <v>11335.1111111111</v>
      </c>
      <c r="AM28" s="11">
        <f>(AJ28-AK28-AL28)*AE5</f>
        <v>9823.76296296295</v>
      </c>
      <c r="AN28" s="11">
        <f>(AJ28-AK28-AL28-AM28)*AE5</f>
        <v>8513.92790123456</v>
      </c>
      <c r="AO28" s="11">
        <f>(AJ28-AK28-AL28-AM28-AN28)*AE5</f>
        <v>7378.73751440328</v>
      </c>
      <c r="AP28" s="11">
        <f>(AJ28-AK28-AL28-AM28-AN28-AO28)*AE5</f>
        <v>6394.90584581618</v>
      </c>
      <c r="AQ28" s="11">
        <f>(AJ28-AK28-AL28-AM28-AN28-AO28-AP28)*AE5</f>
        <v>5542.25173304069</v>
      </c>
      <c r="AR28" s="11">
        <f>(AJ28-AK28-AL28-AM28-AN28-AO28-AP28-AQ28)*AE5</f>
        <v>4803.28483530194</v>
      </c>
      <c r="AS28" s="11">
        <f>(AJ28-AK28-AL28-AM28-AN28-AO28-AP28-AQ28-AR28)*AE5</f>
        <v>4162.84685726168</v>
      </c>
      <c r="AT28" s="11">
        <f>(AJ28-AK28-AL28-AM28-AN28-AO28-AP28-AQ28-AR28-AS28)*AE5</f>
        <v>3607.80060962679</v>
      </c>
      <c r="AU28" s="11">
        <f>(AJ28-AK28-AL28-AM28-AN28-AO28-AP28-AQ28-AR28-AS28-AT28)*AE5</f>
        <v>3126.76052834322</v>
      </c>
      <c r="AV28" s="11"/>
      <c r="AW28" s="11"/>
      <c r="AX28" s="11">
        <f t="shared" si="8"/>
        <v>77768.3642580767</v>
      </c>
      <c r="AY28" s="11"/>
      <c r="AZ28" s="11"/>
      <c r="BA28" s="11">
        <f t="shared" si="9"/>
        <v>20323.943434231</v>
      </c>
    </row>
    <row r="29" s="33" customFormat="1" ht="15" customHeight="1" spans="1:53">
      <c r="A29" s="8">
        <v>24</v>
      </c>
      <c r="B29" s="8" t="s">
        <v>49</v>
      </c>
      <c r="C29" s="8" t="s">
        <v>52</v>
      </c>
      <c r="D29" s="10" t="s">
        <v>51</v>
      </c>
      <c r="E29" s="8" t="s">
        <v>154</v>
      </c>
      <c r="F29" s="8" t="s">
        <v>153</v>
      </c>
      <c r="G29" s="42">
        <v>41122</v>
      </c>
      <c r="H29" s="43">
        <v>90000</v>
      </c>
      <c r="I29" s="11">
        <v>327474</v>
      </c>
      <c r="J29" s="11">
        <v>500000</v>
      </c>
      <c r="K29" s="8">
        <v>19</v>
      </c>
      <c r="L29" s="50">
        <v>45382</v>
      </c>
      <c r="M29" s="51">
        <f t="shared" si="19"/>
        <v>140.054794520548</v>
      </c>
      <c r="N29" s="52">
        <f t="shared" si="20"/>
        <v>39.9452054794521</v>
      </c>
      <c r="O29" s="11">
        <f t="shared" si="0"/>
        <v>172526</v>
      </c>
      <c r="P29" s="53">
        <v>44980</v>
      </c>
      <c r="Q29" s="53">
        <v>46440</v>
      </c>
      <c r="R29" s="11">
        <f t="shared" si="14"/>
        <v>34.7835616438356</v>
      </c>
      <c r="S29" s="11">
        <v>720</v>
      </c>
      <c r="T29" s="11">
        <f t="shared" si="1"/>
        <v>98092.3076923077</v>
      </c>
      <c r="U29" s="61">
        <f t="shared" si="21"/>
        <v>0.345052</v>
      </c>
      <c r="V29" s="11">
        <f t="shared" si="22"/>
        <v>33846.9469538462</v>
      </c>
      <c r="W29" s="11">
        <f t="shared" si="4"/>
        <v>98092.3076923077</v>
      </c>
      <c r="X29" s="61">
        <f t="shared" si="5"/>
        <v>0.207192020581088</v>
      </c>
      <c r="Y29" s="11">
        <f t="shared" si="6"/>
        <v>20323.943434231</v>
      </c>
      <c r="Z29" s="11">
        <f t="shared" si="15"/>
        <v>98092.3076923077</v>
      </c>
      <c r="AA29" s="61">
        <f t="shared" si="17"/>
        <v>0.221917808219178</v>
      </c>
      <c r="AB29" s="11">
        <f t="shared" si="10"/>
        <v>21768.4299262381</v>
      </c>
      <c r="AC29" s="8"/>
      <c r="AD29" s="69"/>
      <c r="AE29" s="69"/>
      <c r="AF29" s="11">
        <v>90000</v>
      </c>
      <c r="AG29" s="11">
        <f t="shared" si="7"/>
        <v>76923.0769230769</v>
      </c>
      <c r="AH29" s="11">
        <f t="shared" si="11"/>
        <v>7692.30769230769</v>
      </c>
      <c r="AI29" s="11">
        <v>400</v>
      </c>
      <c r="AJ29" s="11">
        <f t="shared" si="12"/>
        <v>98092.3076923077</v>
      </c>
      <c r="AK29" s="11">
        <f>AJ29*AE5</f>
        <v>13078.9743589743</v>
      </c>
      <c r="AL29" s="11">
        <f>(AJ29-AK29)*AE5</f>
        <v>11335.1111111111</v>
      </c>
      <c r="AM29" s="11">
        <f>(AJ29-AK29-AL29)*AE5</f>
        <v>9823.76296296295</v>
      </c>
      <c r="AN29" s="11">
        <f>(AJ29-AK29-AL29-AM29)*AE5</f>
        <v>8513.92790123456</v>
      </c>
      <c r="AO29" s="11">
        <f>(AJ29-AK29-AL29-AM29-AN29)*AE5</f>
        <v>7378.73751440328</v>
      </c>
      <c r="AP29" s="11">
        <f>(AJ29-AK29-AL29-AM29-AN29-AO29)*AE5</f>
        <v>6394.90584581618</v>
      </c>
      <c r="AQ29" s="11">
        <f>(AJ29-AK29-AL29-AM29-AN29-AO29-AP29)*AE5</f>
        <v>5542.25173304069</v>
      </c>
      <c r="AR29" s="11">
        <f>(AJ29-AK29-AL29-AM29-AN29-AO29-AP29-AQ29)*AE5</f>
        <v>4803.28483530194</v>
      </c>
      <c r="AS29" s="11">
        <f>(AJ29-AK29-AL29-AM29-AN29-AO29-AP29-AQ29-AR29)*AE5</f>
        <v>4162.84685726168</v>
      </c>
      <c r="AT29" s="11">
        <f>(AJ29-AK29-AL29-AM29-AN29-AO29-AP29-AQ29-AR29-AS29)*AE5</f>
        <v>3607.80060962679</v>
      </c>
      <c r="AU29" s="11">
        <f>(AJ29-AK29-AL29-AM29-AN29-AO29-AP29-AQ29-AR29-AS29-AT29)*AE5</f>
        <v>3126.76052834322</v>
      </c>
      <c r="AV29" s="11"/>
      <c r="AW29" s="11"/>
      <c r="AX29" s="11">
        <f t="shared" si="8"/>
        <v>77768.3642580767</v>
      </c>
      <c r="AY29" s="11"/>
      <c r="AZ29" s="11"/>
      <c r="BA29" s="11">
        <f t="shared" si="9"/>
        <v>20323.943434231</v>
      </c>
    </row>
    <row r="30" s="33" customFormat="1" ht="15" customHeight="1" spans="1:53">
      <c r="A30" s="8">
        <v>25</v>
      </c>
      <c r="B30" s="8" t="s">
        <v>49</v>
      </c>
      <c r="C30" s="8" t="s">
        <v>53</v>
      </c>
      <c r="D30" s="10" t="s">
        <v>51</v>
      </c>
      <c r="E30" s="8" t="s">
        <v>154</v>
      </c>
      <c r="F30" s="8" t="s">
        <v>153</v>
      </c>
      <c r="G30" s="42">
        <v>41453</v>
      </c>
      <c r="H30" s="43">
        <v>90000</v>
      </c>
      <c r="I30" s="11">
        <v>214705</v>
      </c>
      <c r="J30" s="11">
        <v>500000</v>
      </c>
      <c r="K30" s="8">
        <v>19</v>
      </c>
      <c r="L30" s="50">
        <v>45382</v>
      </c>
      <c r="M30" s="51">
        <f t="shared" si="19"/>
        <v>129.172602739726</v>
      </c>
      <c r="N30" s="52">
        <f t="shared" si="20"/>
        <v>50.827397260274</v>
      </c>
      <c r="O30" s="11">
        <f t="shared" si="0"/>
        <v>285295</v>
      </c>
      <c r="P30" s="53">
        <v>44980</v>
      </c>
      <c r="Q30" s="53">
        <v>46440</v>
      </c>
      <c r="R30" s="11">
        <f t="shared" si="14"/>
        <v>34.7835616438356</v>
      </c>
      <c r="S30" s="11">
        <v>720</v>
      </c>
      <c r="T30" s="11">
        <f t="shared" si="1"/>
        <v>98092.3076923077</v>
      </c>
      <c r="U30" s="61">
        <f t="shared" si="21"/>
        <v>0.57059</v>
      </c>
      <c r="V30" s="11">
        <f t="shared" si="22"/>
        <v>55970.4898461539</v>
      </c>
      <c r="W30" s="11">
        <f t="shared" si="4"/>
        <v>98092.3076923077</v>
      </c>
      <c r="X30" s="61">
        <f t="shared" si="5"/>
        <v>0.236411408547782</v>
      </c>
      <c r="Y30" s="11">
        <f t="shared" si="6"/>
        <v>23190.1406292409</v>
      </c>
      <c r="Z30" s="11">
        <f t="shared" si="15"/>
        <v>98092.3076923077</v>
      </c>
      <c r="AA30" s="61">
        <f t="shared" si="17"/>
        <v>0.282374429223744</v>
      </c>
      <c r="AB30" s="11">
        <f t="shared" si="10"/>
        <v>27698.7593958553</v>
      </c>
      <c r="AC30" s="8"/>
      <c r="AD30" s="69"/>
      <c r="AE30" s="69"/>
      <c r="AF30" s="11">
        <v>90000</v>
      </c>
      <c r="AG30" s="11">
        <f t="shared" si="7"/>
        <v>76923.0769230769</v>
      </c>
      <c r="AH30" s="11">
        <f t="shared" si="11"/>
        <v>7692.30769230769</v>
      </c>
      <c r="AI30" s="11">
        <v>400</v>
      </c>
      <c r="AJ30" s="11">
        <f t="shared" si="12"/>
        <v>98092.3076923077</v>
      </c>
      <c r="AK30" s="11">
        <f>AJ30*AE5</f>
        <v>13078.9743589743</v>
      </c>
      <c r="AL30" s="11">
        <f>(AJ30-AK30)*AE5</f>
        <v>11335.1111111111</v>
      </c>
      <c r="AM30" s="11">
        <f>(AJ30-AK30-AL30)*AE5</f>
        <v>9823.76296296295</v>
      </c>
      <c r="AN30" s="11">
        <f>(AJ30-AK30-AL30-AM30)*AE5</f>
        <v>8513.92790123456</v>
      </c>
      <c r="AO30" s="11">
        <f>(AJ30-AK30-AL30-AM30-AN30)*AE5</f>
        <v>7378.73751440328</v>
      </c>
      <c r="AP30" s="11">
        <f>(AJ30-AK30-AL30-AM30-AN30-AO30)*AE5</f>
        <v>6394.90584581618</v>
      </c>
      <c r="AQ30" s="11">
        <f>(AJ30-AK30-AL30-AM30-AN30-AO30-AP30)*AE5</f>
        <v>5542.25173304069</v>
      </c>
      <c r="AR30" s="11">
        <f>(AJ30-AK30-AL30-AM30-AN30-AO30-AP30-AQ30)*AE5</f>
        <v>4803.28483530194</v>
      </c>
      <c r="AS30" s="11">
        <f>(AJ30-AK30-AL30-AM30-AN30-AO30-AP30-AQ30-AR30)*AE5</f>
        <v>4162.84685726168</v>
      </c>
      <c r="AT30" s="11">
        <f>(AJ30-AK30-AL30-AM30-AN30-AO30-AP30-AQ30-AR30-AS30)*AE5</f>
        <v>3607.80060962679</v>
      </c>
      <c r="AU30" s="11">
        <f>1/12*3126.76</f>
        <v>260.563333333333</v>
      </c>
      <c r="AV30" s="11"/>
      <c r="AW30" s="11"/>
      <c r="AX30" s="11">
        <f t="shared" si="8"/>
        <v>74902.1670630668</v>
      </c>
      <c r="AY30" s="11"/>
      <c r="AZ30" s="11"/>
      <c r="BA30" s="11">
        <f t="shared" si="9"/>
        <v>23190.1406292409</v>
      </c>
    </row>
    <row r="31" s="33" customFormat="1" ht="15" customHeight="1" spans="1:53">
      <c r="A31" s="8">
        <v>26</v>
      </c>
      <c r="B31" s="8" t="s">
        <v>54</v>
      </c>
      <c r="C31" s="8" t="s">
        <v>55</v>
      </c>
      <c r="D31" s="10" t="s">
        <v>56</v>
      </c>
      <c r="E31" s="8" t="s">
        <v>154</v>
      </c>
      <c r="F31" s="8" t="s">
        <v>153</v>
      </c>
      <c r="G31" s="42">
        <v>41932</v>
      </c>
      <c r="H31" s="43">
        <v>76000</v>
      </c>
      <c r="I31" s="11">
        <f>105697+16037</f>
        <v>121734</v>
      </c>
      <c r="J31" s="11">
        <v>500000</v>
      </c>
      <c r="K31" s="8">
        <v>19</v>
      </c>
      <c r="L31" s="50">
        <v>45382</v>
      </c>
      <c r="M31" s="51">
        <f t="shared" si="19"/>
        <v>113.424657534247</v>
      </c>
      <c r="N31" s="52">
        <f t="shared" si="20"/>
        <v>66.5753424657534</v>
      </c>
      <c r="O31" s="11">
        <f t="shared" si="0"/>
        <v>378266</v>
      </c>
      <c r="P31" s="53">
        <v>44126</v>
      </c>
      <c r="Q31" s="53">
        <v>45586</v>
      </c>
      <c r="R31" s="11">
        <f t="shared" si="14"/>
        <v>6.70684931506849</v>
      </c>
      <c r="S31" s="11">
        <v>720</v>
      </c>
      <c r="T31" s="11">
        <f t="shared" si="1"/>
        <v>82895.7264957265</v>
      </c>
      <c r="U31" s="61">
        <f t="shared" si="21"/>
        <v>0.756532</v>
      </c>
      <c r="V31" s="11">
        <f t="shared" si="22"/>
        <v>62713.269757265</v>
      </c>
      <c r="W31" s="11">
        <f t="shared" si="4"/>
        <v>82895.7264957265</v>
      </c>
      <c r="X31" s="61">
        <f t="shared" si="5"/>
        <v>0.286456910297585</v>
      </c>
      <c r="Y31" s="11">
        <f t="shared" si="6"/>
        <v>23746.0536888394</v>
      </c>
      <c r="Z31" s="11">
        <f t="shared" si="15"/>
        <v>82895.7264957265</v>
      </c>
      <c r="AA31" s="61">
        <f t="shared" si="17"/>
        <v>0.36986301369863</v>
      </c>
      <c r="AB31" s="11">
        <f t="shared" si="10"/>
        <v>30660.0632244468</v>
      </c>
      <c r="AC31" s="8"/>
      <c r="AD31" s="69"/>
      <c r="AE31" s="69"/>
      <c r="AF31" s="11">
        <v>76000</v>
      </c>
      <c r="AG31" s="11">
        <f t="shared" si="7"/>
        <v>64957.264957265</v>
      </c>
      <c r="AH31" s="11">
        <f t="shared" si="11"/>
        <v>6495.7264957265</v>
      </c>
      <c r="AI31" s="11">
        <v>400</v>
      </c>
      <c r="AJ31" s="11">
        <f t="shared" si="12"/>
        <v>82895.7264957265</v>
      </c>
      <c r="AK31" s="11">
        <f>AJ31*AE5</f>
        <v>11052.7635327635</v>
      </c>
      <c r="AL31" s="11">
        <f>(AJ31-AK31)*AE5</f>
        <v>9579.06172839504</v>
      </c>
      <c r="AM31" s="11">
        <f>(AJ31-AK31-AL31)*AE5</f>
        <v>8301.85349794237</v>
      </c>
      <c r="AN31" s="11">
        <f>(AJ31-AK31-AL31-AM31)*AE5</f>
        <v>7194.93969821673</v>
      </c>
      <c r="AO31" s="11">
        <f>(AJ31-AK31-AL31-AM31-AN31)*AE5</f>
        <v>6235.61440512116</v>
      </c>
      <c r="AP31" s="11">
        <f>(AJ31-AK31-AL31-AM31-AN31-AO31)*AE5</f>
        <v>5404.19915110501</v>
      </c>
      <c r="AQ31" s="11">
        <f>(AJ31-AK31-AL31-AM31-AN31-AO31-AP31)*AE5</f>
        <v>4683.63926429101</v>
      </c>
      <c r="AR31" s="11">
        <f>(AJ31-AK31-AL31-AM31-AN31-AO31-AP31-AQ31)*AE5</f>
        <v>4059.15402905221</v>
      </c>
      <c r="AS31" s="11">
        <f>9/12*3517.93</f>
        <v>2638.4475</v>
      </c>
      <c r="AT31" s="11"/>
      <c r="AU31" s="11"/>
      <c r="AV31" s="11"/>
      <c r="AW31" s="11"/>
      <c r="AX31" s="11">
        <f t="shared" si="8"/>
        <v>59149.6728068871</v>
      </c>
      <c r="AY31" s="11"/>
      <c r="AZ31" s="11"/>
      <c r="BA31" s="11">
        <f t="shared" si="9"/>
        <v>23746.0536888394</v>
      </c>
    </row>
    <row r="32" s="33" customFormat="1" ht="15" customHeight="1" spans="1:53">
      <c r="A32" s="8">
        <v>27</v>
      </c>
      <c r="B32" s="8" t="s">
        <v>57</v>
      </c>
      <c r="C32" s="8" t="s">
        <v>58</v>
      </c>
      <c r="D32" s="10" t="s">
        <v>59</v>
      </c>
      <c r="E32" s="9" t="s">
        <v>159</v>
      </c>
      <c r="F32" s="8" t="s">
        <v>153</v>
      </c>
      <c r="G32" s="42">
        <v>42618</v>
      </c>
      <c r="H32" s="43">
        <v>80000</v>
      </c>
      <c r="I32" s="11">
        <v>274188</v>
      </c>
      <c r="J32" s="11">
        <v>500000</v>
      </c>
      <c r="K32" s="8">
        <v>19</v>
      </c>
      <c r="L32" s="50">
        <v>45382</v>
      </c>
      <c r="M32" s="51">
        <f t="shared" si="19"/>
        <v>90.8712328767123</v>
      </c>
      <c r="N32" s="52">
        <f t="shared" si="20"/>
        <v>89.1287671232877</v>
      </c>
      <c r="O32" s="11">
        <f t="shared" si="0"/>
        <v>225812</v>
      </c>
      <c r="P32" s="53">
        <v>44980</v>
      </c>
      <c r="Q32" s="53">
        <v>46440</v>
      </c>
      <c r="R32" s="11">
        <f t="shared" si="14"/>
        <v>34.7835616438356</v>
      </c>
      <c r="S32" s="11">
        <v>720</v>
      </c>
      <c r="T32" s="11">
        <f t="shared" si="1"/>
        <v>87237.6068376068</v>
      </c>
      <c r="U32" s="61">
        <f t="shared" si="21"/>
        <v>0.451624</v>
      </c>
      <c r="V32" s="11">
        <f t="shared" si="22"/>
        <v>39398.5969504273</v>
      </c>
      <c r="W32" s="11">
        <f t="shared" si="4"/>
        <v>87237.6068376068</v>
      </c>
      <c r="X32" s="61">
        <f t="shared" si="5"/>
        <v>0.376669109439132</v>
      </c>
      <c r="Y32" s="11">
        <f t="shared" si="6"/>
        <v>32859.7116771225</v>
      </c>
      <c r="Z32" s="11">
        <f t="shared" si="15"/>
        <v>87237.6068376068</v>
      </c>
      <c r="AA32" s="61">
        <f t="shared" si="17"/>
        <v>0.495159817351598</v>
      </c>
      <c r="AB32" s="11">
        <f t="shared" si="10"/>
        <v>43196.5574678999</v>
      </c>
      <c r="AC32" s="8"/>
      <c r="AD32" s="69"/>
      <c r="AE32" s="69"/>
      <c r="AF32" s="11">
        <v>80000</v>
      </c>
      <c r="AG32" s="11">
        <f t="shared" si="7"/>
        <v>68376.0683760684</v>
      </c>
      <c r="AH32" s="11">
        <f t="shared" si="11"/>
        <v>6837.60683760684</v>
      </c>
      <c r="AI32" s="11">
        <v>400</v>
      </c>
      <c r="AJ32" s="11">
        <f t="shared" si="12"/>
        <v>87237.6068376068</v>
      </c>
      <c r="AK32" s="11">
        <f>AJ32*AE5</f>
        <v>11631.6809116809</v>
      </c>
      <c r="AL32" s="11">
        <f>(AJ32-AK32)*AE5</f>
        <v>10080.7901234568</v>
      </c>
      <c r="AM32" s="11">
        <f>(AJ32-AK32-AL32)*AE5</f>
        <v>8736.68477366254</v>
      </c>
      <c r="AN32" s="11">
        <f>(AJ32-AK32-AL32-AM32)*AE5</f>
        <v>7571.79347050753</v>
      </c>
      <c r="AO32" s="11">
        <f>(AJ32-AK32-AL32-AM32-AN32)*AE5</f>
        <v>6562.2210077732</v>
      </c>
      <c r="AP32" s="11">
        <f>(AJ32-AK32-AL32-AM32-AN32-AO32)*AE5</f>
        <v>5687.25820673677</v>
      </c>
      <c r="AQ32" s="11">
        <f>10/12*4928.96</f>
        <v>4107.46666666667</v>
      </c>
      <c r="AR32" s="11"/>
      <c r="AS32" s="11"/>
      <c r="AT32" s="11"/>
      <c r="AU32" s="11"/>
      <c r="AV32" s="11"/>
      <c r="AW32" s="11"/>
      <c r="AX32" s="11">
        <f t="shared" si="8"/>
        <v>54377.8951604844</v>
      </c>
      <c r="AY32" s="11"/>
      <c r="AZ32" s="11"/>
      <c r="BA32" s="11">
        <f t="shared" si="9"/>
        <v>32859.7116771225</v>
      </c>
    </row>
    <row r="33" s="33" customFormat="1" ht="15" customHeight="1" spans="1:53">
      <c r="A33" s="8">
        <v>28</v>
      </c>
      <c r="B33" s="8" t="s">
        <v>60</v>
      </c>
      <c r="C33" s="8" t="s">
        <v>61</v>
      </c>
      <c r="D33" s="10" t="s">
        <v>13</v>
      </c>
      <c r="E33" s="9" t="s">
        <v>159</v>
      </c>
      <c r="F33" s="8" t="s">
        <v>153</v>
      </c>
      <c r="G33" s="42">
        <v>42004</v>
      </c>
      <c r="H33" s="43">
        <v>80000</v>
      </c>
      <c r="I33" s="11">
        <v>266962</v>
      </c>
      <c r="J33" s="11">
        <v>500000</v>
      </c>
      <c r="K33" s="8">
        <v>19</v>
      </c>
      <c r="L33" s="50">
        <v>45382</v>
      </c>
      <c r="M33" s="51">
        <f t="shared" ref="M33:M38" si="23">(L33-G33)/365*12</f>
        <v>111.057534246575</v>
      </c>
      <c r="N33" s="52">
        <f t="shared" ref="N33:N38" si="24">180-(L33-G33)/365*12</f>
        <v>68.9424657534247</v>
      </c>
      <c r="O33" s="11">
        <f t="shared" si="0"/>
        <v>233038</v>
      </c>
      <c r="P33" s="53">
        <v>45092</v>
      </c>
      <c r="Q33" s="53">
        <v>46552</v>
      </c>
      <c r="R33" s="11">
        <f t="shared" si="14"/>
        <v>38.4657534246575</v>
      </c>
      <c r="S33" s="11">
        <v>720</v>
      </c>
      <c r="T33" s="11">
        <f t="shared" si="1"/>
        <v>87237.6068376068</v>
      </c>
      <c r="U33" s="61">
        <f t="shared" si="21"/>
        <v>0.466076</v>
      </c>
      <c r="V33" s="11">
        <f t="shared" si="22"/>
        <v>40659.3548444444</v>
      </c>
      <c r="W33" s="11">
        <f t="shared" si="4"/>
        <v>87237.6068376068</v>
      </c>
      <c r="X33" s="61">
        <f t="shared" si="5"/>
        <v>0.297066418255691</v>
      </c>
      <c r="Y33" s="11">
        <f t="shared" si="6"/>
        <v>25915.3634004461</v>
      </c>
      <c r="Z33" s="11">
        <f t="shared" si="15"/>
        <v>87237.6068376068</v>
      </c>
      <c r="AA33" s="61">
        <f t="shared" si="17"/>
        <v>0.383013698630137</v>
      </c>
      <c r="AB33" s="11">
        <f t="shared" si="10"/>
        <v>33413.1984545135</v>
      </c>
      <c r="AC33" s="8"/>
      <c r="AD33" s="69"/>
      <c r="AE33" s="69"/>
      <c r="AF33" s="11">
        <v>80000</v>
      </c>
      <c r="AG33" s="11">
        <f t="shared" si="7"/>
        <v>68376.0683760684</v>
      </c>
      <c r="AH33" s="11">
        <f t="shared" si="11"/>
        <v>6837.60683760684</v>
      </c>
      <c r="AI33" s="11">
        <v>400</v>
      </c>
      <c r="AJ33" s="11">
        <f t="shared" si="12"/>
        <v>87237.6068376068</v>
      </c>
      <c r="AK33" s="11">
        <f>AJ33*AE5</f>
        <v>11631.6809116809</v>
      </c>
      <c r="AL33" s="11">
        <f>(AJ33-AK33)*AE5</f>
        <v>10080.7901234568</v>
      </c>
      <c r="AM33" s="11">
        <f>(AJ33-AK33-AL33)*AE5</f>
        <v>8736.68477366254</v>
      </c>
      <c r="AN33" s="11">
        <f>(AJ33-AK33-AL33-AM33)*AE5</f>
        <v>7571.79347050753</v>
      </c>
      <c r="AO33" s="11">
        <f>(AJ33-AK33-AL33-AM33-AN33)*AE5</f>
        <v>6562.2210077732</v>
      </c>
      <c r="AP33" s="11">
        <f>(AJ33-AK33-AL33-AM33-AN33-AO33)*AE5</f>
        <v>5687.25820673677</v>
      </c>
      <c r="AQ33" s="11">
        <f>(AJ33-AK33-AL33-AM33-AN33-AO33-AP33)*AE5</f>
        <v>4928.95711250521</v>
      </c>
      <c r="AR33" s="11">
        <f>(AJ33-AK33-AL33-AM33-AN33-AO33-AP33-AQ33)*AE5</f>
        <v>4271.76283083785</v>
      </c>
      <c r="AS33" s="11">
        <f>6/12*3702.19</f>
        <v>1851.095</v>
      </c>
      <c r="AT33" s="11"/>
      <c r="AU33" s="11"/>
      <c r="AV33" s="11"/>
      <c r="AW33" s="11"/>
      <c r="AX33" s="11">
        <f t="shared" si="8"/>
        <v>61322.2434371608</v>
      </c>
      <c r="AY33" s="11"/>
      <c r="AZ33" s="11"/>
      <c r="BA33" s="11">
        <f t="shared" si="9"/>
        <v>25915.3634004461</v>
      </c>
    </row>
    <row r="34" s="33" customFormat="1" ht="15" customHeight="1" spans="1:53">
      <c r="A34" s="8">
        <v>29</v>
      </c>
      <c r="B34" s="8" t="s">
        <v>62</v>
      </c>
      <c r="C34" s="8" t="s">
        <v>63</v>
      </c>
      <c r="D34" s="10" t="s">
        <v>64</v>
      </c>
      <c r="E34" s="8" t="s">
        <v>154</v>
      </c>
      <c r="F34" s="8" t="s">
        <v>153</v>
      </c>
      <c r="G34" s="42">
        <v>41397</v>
      </c>
      <c r="H34" s="43">
        <v>90000</v>
      </c>
      <c r="I34" s="11">
        <v>172824</v>
      </c>
      <c r="J34" s="11">
        <v>500000</v>
      </c>
      <c r="K34" s="8">
        <v>19</v>
      </c>
      <c r="L34" s="50">
        <v>45382</v>
      </c>
      <c r="M34" s="51">
        <f t="shared" si="23"/>
        <v>131.013698630137</v>
      </c>
      <c r="N34" s="52">
        <f t="shared" si="24"/>
        <v>48.986301369863</v>
      </c>
      <c r="O34" s="11">
        <f t="shared" si="0"/>
        <v>327176</v>
      </c>
      <c r="P34" s="53">
        <v>43586</v>
      </c>
      <c r="Q34" s="53">
        <v>45777</v>
      </c>
      <c r="R34" s="11">
        <f t="shared" si="14"/>
        <v>12.986301369863</v>
      </c>
      <c r="S34" s="11">
        <v>720</v>
      </c>
      <c r="T34" s="11">
        <f t="shared" si="1"/>
        <v>98092.3076923077</v>
      </c>
      <c r="U34" s="61">
        <f t="shared" si="21"/>
        <v>0.654352</v>
      </c>
      <c r="V34" s="11">
        <f t="shared" si="22"/>
        <v>64186.8977230769</v>
      </c>
      <c r="W34" s="11">
        <f t="shared" si="4"/>
        <v>98092.3076923077</v>
      </c>
      <c r="X34" s="61">
        <f t="shared" si="5"/>
        <v>0.231098793533144</v>
      </c>
      <c r="Y34" s="11">
        <f t="shared" si="6"/>
        <v>22669.0139625742</v>
      </c>
      <c r="Z34" s="11">
        <f t="shared" si="15"/>
        <v>98092.3076923077</v>
      </c>
      <c r="AA34" s="61">
        <f t="shared" si="17"/>
        <v>0.272146118721461</v>
      </c>
      <c r="AB34" s="11">
        <f t="shared" si="10"/>
        <v>26695.4408148929</v>
      </c>
      <c r="AC34" s="8"/>
      <c r="AD34" s="69"/>
      <c r="AE34" s="69"/>
      <c r="AF34" s="11">
        <v>90000</v>
      </c>
      <c r="AG34" s="11">
        <f t="shared" si="7"/>
        <v>76923.0769230769</v>
      </c>
      <c r="AH34" s="11">
        <f t="shared" si="11"/>
        <v>7692.30769230769</v>
      </c>
      <c r="AI34" s="11">
        <v>400</v>
      </c>
      <c r="AJ34" s="11">
        <f t="shared" si="12"/>
        <v>98092.3076923077</v>
      </c>
      <c r="AK34" s="11">
        <f>AJ34*AE5</f>
        <v>13078.9743589743</v>
      </c>
      <c r="AL34" s="11">
        <f>(AJ34-AK34)*AE5</f>
        <v>11335.1111111111</v>
      </c>
      <c r="AM34" s="11">
        <f>(AJ34-AK34-AL34)*AE5</f>
        <v>9823.76296296295</v>
      </c>
      <c r="AN34" s="11">
        <f>(AJ34-AK34-AL34-AM34)*AE5</f>
        <v>8513.92790123456</v>
      </c>
      <c r="AO34" s="11">
        <f>(AJ34-AK34-AL34-AM34-AN34)*AE5</f>
        <v>7378.73751440328</v>
      </c>
      <c r="AP34" s="11">
        <f>(AJ34-AK34-AL34-AM34-AN34-AO34)*AE5</f>
        <v>6394.90584581618</v>
      </c>
      <c r="AQ34" s="11">
        <f>(AJ34-AK34-AL34-AM34-AN34-AO34-AP34)*AE5</f>
        <v>5542.25173304069</v>
      </c>
      <c r="AR34" s="11">
        <f>(AJ34-AK34-AL34-AM34-AN34-AO34-AP34-AQ34)*AE5</f>
        <v>4803.28483530194</v>
      </c>
      <c r="AS34" s="11">
        <f>(AJ34-AK34-AL34-AM34-AN34-AO34-AP34-AQ34-AR34)*AE5</f>
        <v>4162.84685726168</v>
      </c>
      <c r="AT34" s="11">
        <f>(AJ34-AK34-AL34-AM34-AN34-AO34-AP34-AQ34-AR34-AS34)*AE5</f>
        <v>3607.80060962679</v>
      </c>
      <c r="AU34" s="11">
        <f>3/12*3126.76</f>
        <v>781.69</v>
      </c>
      <c r="AV34" s="11"/>
      <c r="AW34" s="11"/>
      <c r="AX34" s="11">
        <f t="shared" si="8"/>
        <v>75423.2937297335</v>
      </c>
      <c r="AY34" s="11"/>
      <c r="AZ34" s="11"/>
      <c r="BA34" s="11">
        <f t="shared" si="9"/>
        <v>22669.0139625742</v>
      </c>
    </row>
    <row r="35" s="33" customFormat="1" ht="15" customHeight="1" spans="1:53">
      <c r="A35" s="8">
        <v>30</v>
      </c>
      <c r="B35" s="8" t="s">
        <v>62</v>
      </c>
      <c r="C35" s="8" t="s">
        <v>65</v>
      </c>
      <c r="D35" s="10" t="s">
        <v>64</v>
      </c>
      <c r="E35" s="8" t="s">
        <v>154</v>
      </c>
      <c r="F35" s="8" t="s">
        <v>153</v>
      </c>
      <c r="G35" s="42">
        <v>42454</v>
      </c>
      <c r="H35" s="43">
        <v>98000</v>
      </c>
      <c r="I35" s="11">
        <v>240000</v>
      </c>
      <c r="J35" s="11">
        <v>500000</v>
      </c>
      <c r="K35" s="8">
        <v>19</v>
      </c>
      <c r="L35" s="50">
        <v>45382</v>
      </c>
      <c r="M35" s="51">
        <f t="shared" si="23"/>
        <v>96.2630136986301</v>
      </c>
      <c r="N35" s="52">
        <f t="shared" si="24"/>
        <v>83.7369863013699</v>
      </c>
      <c r="O35" s="11">
        <f t="shared" si="0"/>
        <v>260000</v>
      </c>
      <c r="P35" s="53">
        <v>44562</v>
      </c>
      <c r="Q35" s="53">
        <v>46022</v>
      </c>
      <c r="R35" s="11">
        <f t="shared" si="14"/>
        <v>21.041095890411</v>
      </c>
      <c r="S35" s="11">
        <v>720</v>
      </c>
      <c r="T35" s="11">
        <f t="shared" si="1"/>
        <v>106776.068376068</v>
      </c>
      <c r="U35" s="61">
        <f t="shared" si="21"/>
        <v>0.52</v>
      </c>
      <c r="V35" s="11">
        <f t="shared" si="22"/>
        <v>55523.5555555554</v>
      </c>
      <c r="W35" s="11">
        <f t="shared" si="4"/>
        <v>106776.068376068</v>
      </c>
      <c r="X35" s="61">
        <f t="shared" si="5"/>
        <v>0.350930086938977</v>
      </c>
      <c r="Y35" s="11">
        <f t="shared" si="6"/>
        <v>37470.9349582158</v>
      </c>
      <c r="Z35" s="11">
        <f t="shared" si="15"/>
        <v>106776.068376068</v>
      </c>
      <c r="AA35" s="61">
        <f t="shared" si="17"/>
        <v>0.465205479452055</v>
      </c>
      <c r="AB35" s="11">
        <f t="shared" si="10"/>
        <v>49672.8120828943</v>
      </c>
      <c r="AC35" s="8"/>
      <c r="AD35" s="69"/>
      <c r="AE35" s="69"/>
      <c r="AF35" s="11">
        <v>98000</v>
      </c>
      <c r="AG35" s="11">
        <f t="shared" si="7"/>
        <v>83760.6837606838</v>
      </c>
      <c r="AH35" s="11">
        <f t="shared" si="11"/>
        <v>8376.06837606838</v>
      </c>
      <c r="AI35" s="11">
        <v>400</v>
      </c>
      <c r="AJ35" s="11">
        <f t="shared" si="12"/>
        <v>106776.068376068</v>
      </c>
      <c r="AK35" s="11">
        <f>AJ35*AE5</f>
        <v>14236.8091168091</v>
      </c>
      <c r="AL35" s="11">
        <f>(AJ35-AK35)*AE5</f>
        <v>12338.5679012345</v>
      </c>
      <c r="AM35" s="11">
        <f>(AJ35-AK35-AL35)*AE5</f>
        <v>10693.4255144033</v>
      </c>
      <c r="AN35" s="11">
        <f>(AJ35-AK35-AL35-AM35)*AE5</f>
        <v>9267.63544581617</v>
      </c>
      <c r="AO35" s="11">
        <f>(AJ35-AK35-AL35-AM35-AN35)*AE5</f>
        <v>8031.95071970735</v>
      </c>
      <c r="AP35" s="11">
        <f>(AJ35-AK35-AL35-AM35-AN35-AO35)*AE5</f>
        <v>6961.02395707971</v>
      </c>
      <c r="AQ35" s="11">
        <f>(AJ35-AK35-AL35-AM35-AN35-AO35-AP35)*AE5</f>
        <v>6032.88742946908</v>
      </c>
      <c r="AR35" s="11">
        <f>4/12*5228.5</f>
        <v>1742.83333333333</v>
      </c>
      <c r="AS35" s="11"/>
      <c r="AT35" s="11"/>
      <c r="AU35" s="11"/>
      <c r="AV35" s="11"/>
      <c r="AW35" s="11"/>
      <c r="AX35" s="11">
        <f t="shared" si="8"/>
        <v>69305.1334178526</v>
      </c>
      <c r="AY35" s="11"/>
      <c r="AZ35" s="11"/>
      <c r="BA35" s="11">
        <f t="shared" si="9"/>
        <v>37470.9349582158</v>
      </c>
    </row>
    <row r="36" s="33" customFormat="1" ht="15" customHeight="1" spans="1:53">
      <c r="A36" s="8">
        <v>31</v>
      </c>
      <c r="B36" s="8" t="s">
        <v>66</v>
      </c>
      <c r="C36" s="8" t="s">
        <v>67</v>
      </c>
      <c r="D36" s="10" t="s">
        <v>68</v>
      </c>
      <c r="E36" s="8" t="s">
        <v>160</v>
      </c>
      <c r="F36" s="8" t="s">
        <v>153</v>
      </c>
      <c r="G36" s="42">
        <v>41079</v>
      </c>
      <c r="H36" s="43">
        <v>98000</v>
      </c>
      <c r="I36" s="11">
        <v>110418</v>
      </c>
      <c r="J36" s="11">
        <v>500000</v>
      </c>
      <c r="K36" s="8">
        <v>19</v>
      </c>
      <c r="L36" s="50">
        <v>45382</v>
      </c>
      <c r="M36" s="51">
        <f t="shared" si="23"/>
        <v>141.468493150685</v>
      </c>
      <c r="N36" s="52">
        <f t="shared" si="24"/>
        <v>38.5315068493151</v>
      </c>
      <c r="O36" s="11">
        <f t="shared" si="0"/>
        <v>389582</v>
      </c>
      <c r="P36" s="53">
        <v>44580</v>
      </c>
      <c r="Q36" s="53">
        <v>46040</v>
      </c>
      <c r="R36" s="11">
        <f t="shared" si="14"/>
        <v>21.6328767123288</v>
      </c>
      <c r="S36" s="11">
        <v>720</v>
      </c>
      <c r="T36" s="11">
        <f t="shared" si="1"/>
        <v>106776.068376068</v>
      </c>
      <c r="U36" s="61">
        <f t="shared" si="21"/>
        <v>0.779164</v>
      </c>
      <c r="V36" s="11">
        <f t="shared" si="22"/>
        <v>83196.0685401706</v>
      </c>
      <c r="W36" s="11">
        <f t="shared" si="4"/>
        <v>106776.068376068</v>
      </c>
      <c r="X36" s="61">
        <f t="shared" si="5"/>
        <v>0.204889889553616</v>
      </c>
      <c r="Y36" s="11">
        <f t="shared" si="6"/>
        <v>21877.336856542</v>
      </c>
      <c r="Z36" s="11">
        <f t="shared" si="15"/>
        <v>106776.068376068</v>
      </c>
      <c r="AA36" s="61">
        <f t="shared" si="17"/>
        <v>0.214063926940639</v>
      </c>
      <c r="AB36" s="11">
        <f t="shared" si="10"/>
        <v>22856.9044998634</v>
      </c>
      <c r="AC36" s="8"/>
      <c r="AD36" s="69"/>
      <c r="AE36" s="69"/>
      <c r="AF36" s="11">
        <v>98000</v>
      </c>
      <c r="AG36" s="11">
        <f t="shared" si="7"/>
        <v>83760.6837606838</v>
      </c>
      <c r="AH36" s="11">
        <f t="shared" si="11"/>
        <v>8376.06837606838</v>
      </c>
      <c r="AI36" s="11">
        <v>400</v>
      </c>
      <c r="AJ36" s="11">
        <f t="shared" si="12"/>
        <v>106776.068376068</v>
      </c>
      <c r="AK36" s="11">
        <f>AJ36*AE5</f>
        <v>14236.8091168091</v>
      </c>
      <c r="AL36" s="11">
        <f>(AJ36-AK36)*AE5</f>
        <v>12338.5679012345</v>
      </c>
      <c r="AM36" s="11">
        <f>(AJ36-AK36-AL36)*AE5</f>
        <v>10693.4255144033</v>
      </c>
      <c r="AN36" s="11">
        <f>(AJ36-AK36-AL36-AM36)*AE5</f>
        <v>9267.63544581617</v>
      </c>
      <c r="AO36" s="11">
        <f>(AJ36-AK36-AL36-AM36-AN36)*AE5</f>
        <v>8031.95071970735</v>
      </c>
      <c r="AP36" s="11">
        <f>(AJ36-AK36-AL36-AM36-AN36-AO36)*AE5</f>
        <v>6961.02395707971</v>
      </c>
      <c r="AQ36" s="11">
        <f>(AJ36-AK36-AL36-AM36-AN36-AO36-AP36)*AE5</f>
        <v>6032.88742946908</v>
      </c>
      <c r="AR36" s="11">
        <f>(AJ36-AK36-AL36-AM36-AN36-AO36-AP36-AQ36)*AE5</f>
        <v>5228.50243887321</v>
      </c>
      <c r="AS36" s="11">
        <f>(AJ36-AK36-AL36-AM36-AN36-AO36-AP36-AQ36-AR36)*AE5</f>
        <v>4531.36878035678</v>
      </c>
      <c r="AT36" s="11">
        <f>(AJ36-AK36-AL36-AM36-AN36-AO36-AP36-AQ36-AR36-AS36)*AE5</f>
        <v>3927.18627630921</v>
      </c>
      <c r="AU36" s="11">
        <f>(AJ36-AK36-AL36-AM36-AN36-AO36-AP36-AQ36-AR36-AS36-AT36)*AE5</f>
        <v>3403.56143946799</v>
      </c>
      <c r="AV36" s="11">
        <f>1/12*2949.75</f>
        <v>245.8125</v>
      </c>
      <c r="AW36" s="11"/>
      <c r="AX36" s="11">
        <f t="shared" si="8"/>
        <v>84898.7315195264</v>
      </c>
      <c r="AY36" s="11"/>
      <c r="AZ36" s="11"/>
      <c r="BA36" s="11">
        <f t="shared" si="9"/>
        <v>21877.336856542</v>
      </c>
    </row>
    <row r="37" s="33" customFormat="1" ht="15" customHeight="1" spans="1:53">
      <c r="A37" s="8">
        <v>32</v>
      </c>
      <c r="B37" s="8" t="s">
        <v>69</v>
      </c>
      <c r="C37" s="8" t="s">
        <v>70</v>
      </c>
      <c r="D37" s="10" t="s">
        <v>71</v>
      </c>
      <c r="E37" s="8" t="s">
        <v>150</v>
      </c>
      <c r="F37" s="8" t="s">
        <v>151</v>
      </c>
      <c r="G37" s="42">
        <v>41841</v>
      </c>
      <c r="H37" s="43">
        <v>170000</v>
      </c>
      <c r="I37" s="11">
        <v>279650</v>
      </c>
      <c r="J37" s="11">
        <v>600000</v>
      </c>
      <c r="K37" s="8">
        <v>29</v>
      </c>
      <c r="L37" s="50">
        <v>45382</v>
      </c>
      <c r="M37" s="51">
        <f t="shared" si="23"/>
        <v>116.416438356164</v>
      </c>
      <c r="N37" s="52">
        <f t="shared" si="24"/>
        <v>63.5835616438356</v>
      </c>
      <c r="O37" s="11">
        <f t="shared" si="0"/>
        <v>320350</v>
      </c>
      <c r="P37" s="53">
        <v>43994</v>
      </c>
      <c r="Q37" s="53">
        <v>45454</v>
      </c>
      <c r="R37" s="11">
        <f t="shared" si="14"/>
        <v>2.36712328767123</v>
      </c>
      <c r="S37" s="11">
        <v>720</v>
      </c>
      <c r="T37" s="11">
        <f t="shared" si="1"/>
        <v>184929.914529915</v>
      </c>
      <c r="U37" s="61">
        <f t="shared" si="21"/>
        <v>0.533916666666667</v>
      </c>
      <c r="V37" s="11">
        <f t="shared" si="22"/>
        <v>98737.1635327638</v>
      </c>
      <c r="W37" s="11">
        <f t="shared" si="4"/>
        <v>184929.914529915</v>
      </c>
      <c r="X37" s="61">
        <f t="shared" si="5"/>
        <v>0.275847364678962</v>
      </c>
      <c r="Y37" s="11">
        <f t="shared" si="6"/>
        <v>51012.4295733827</v>
      </c>
      <c r="Z37" s="11">
        <f t="shared" si="15"/>
        <v>184929.914529915</v>
      </c>
      <c r="AA37" s="61">
        <f t="shared" si="17"/>
        <v>0.35324200913242</v>
      </c>
      <c r="AB37" s="11">
        <f t="shared" si="10"/>
        <v>65325.0145572337</v>
      </c>
      <c r="AC37" s="8"/>
      <c r="AD37" s="69"/>
      <c r="AE37" s="69"/>
      <c r="AF37" s="11">
        <v>170000</v>
      </c>
      <c r="AG37" s="11">
        <f t="shared" si="7"/>
        <v>145299.145299145</v>
      </c>
      <c r="AH37" s="11">
        <f t="shared" si="11"/>
        <v>14529.9145299145</v>
      </c>
      <c r="AI37" s="11">
        <v>400</v>
      </c>
      <c r="AJ37" s="11">
        <f t="shared" si="12"/>
        <v>184929.914529915</v>
      </c>
      <c r="AK37" s="11">
        <f>AJ37*AE5</f>
        <v>24657.3219373219</v>
      </c>
      <c r="AL37" s="11">
        <f>(AJ37-AK37)*AE5</f>
        <v>21369.6790123456</v>
      </c>
      <c r="AM37" s="11">
        <f>(AJ37-AK37-AL37)*AE5</f>
        <v>18520.3884773662</v>
      </c>
      <c r="AN37" s="11">
        <f>(AJ37-AK37-AL37-AM37)*AE5</f>
        <v>16051.0033470507</v>
      </c>
      <c r="AO37" s="11">
        <f>(AJ37-AK37-AL37-AM37-AN37)*AE5</f>
        <v>13910.869567444</v>
      </c>
      <c r="AP37" s="11">
        <f>(AJ37-AK37-AL37-AM37-AN37-AO37)*AE5</f>
        <v>12056.0869584514</v>
      </c>
      <c r="AQ37" s="11">
        <f>(AJ37-AK37-AL37-AM37-AN37-AO37-AP37)*AE5</f>
        <v>10448.6086973246</v>
      </c>
      <c r="AR37" s="11">
        <f>(AJ37-AK37-AL37-AM37-AN37-AO37-AP37-AQ37)*AE5</f>
        <v>9055.46087101465</v>
      </c>
      <c r="AS37" s="11">
        <f>(AJ37-AK37-AL37-AM37-AN37-AO37-AP37-AQ37-AR37)*AE5</f>
        <v>7848.0660882127</v>
      </c>
      <c r="AT37" s="11"/>
      <c r="AU37" s="11"/>
      <c r="AV37" s="11"/>
      <c r="AW37" s="11"/>
      <c r="AX37" s="11">
        <f t="shared" si="8"/>
        <v>133917.484956532</v>
      </c>
      <c r="AY37" s="11"/>
      <c r="AZ37" s="11"/>
      <c r="BA37" s="11">
        <f t="shared" si="9"/>
        <v>51012.4295733827</v>
      </c>
    </row>
    <row r="38" s="33" customFormat="1" ht="15" customHeight="1" spans="1:53">
      <c r="A38" s="8">
        <v>33</v>
      </c>
      <c r="B38" s="8" t="s">
        <v>72</v>
      </c>
      <c r="C38" s="8" t="s">
        <v>73</v>
      </c>
      <c r="D38" s="10" t="s">
        <v>71</v>
      </c>
      <c r="E38" s="8" t="s">
        <v>150</v>
      </c>
      <c r="F38" s="8" t="s">
        <v>151</v>
      </c>
      <c r="G38" s="42">
        <v>42446</v>
      </c>
      <c r="H38" s="43">
        <v>210000</v>
      </c>
      <c r="I38" s="11">
        <v>189392</v>
      </c>
      <c r="J38" s="11">
        <v>600000</v>
      </c>
      <c r="K38" s="8">
        <v>29</v>
      </c>
      <c r="L38" s="50">
        <v>45382</v>
      </c>
      <c r="M38" s="51">
        <f t="shared" si="23"/>
        <v>96.5260273972603</v>
      </c>
      <c r="N38" s="52">
        <f t="shared" si="24"/>
        <v>83.4739726027397</v>
      </c>
      <c r="O38" s="11">
        <f t="shared" si="0"/>
        <v>410608</v>
      </c>
      <c r="P38" s="53">
        <v>43142</v>
      </c>
      <c r="Q38" s="53">
        <v>45332</v>
      </c>
      <c r="R38" s="11"/>
      <c r="S38" s="11">
        <v>720</v>
      </c>
      <c r="T38" s="11">
        <f t="shared" si="1"/>
        <v>228348.717948718</v>
      </c>
      <c r="U38" s="61">
        <f t="shared" si="21"/>
        <v>0.684346666666667</v>
      </c>
      <c r="V38" s="11">
        <f t="shared" si="22"/>
        <v>156269.683965812</v>
      </c>
      <c r="W38" s="11">
        <f t="shared" si="4"/>
        <v>228348.717948718</v>
      </c>
      <c r="X38" s="61">
        <f t="shared" si="5"/>
        <v>0.35093007770333</v>
      </c>
      <c r="Y38" s="11">
        <f t="shared" si="6"/>
        <v>80134.4333331994</v>
      </c>
      <c r="Z38" s="11">
        <f t="shared" si="15"/>
        <v>228348.717948718</v>
      </c>
      <c r="AA38" s="61">
        <f t="shared" si="17"/>
        <v>0.463744292237443</v>
      </c>
      <c r="AB38" s="11">
        <f t="shared" si="10"/>
        <v>105895.414588456</v>
      </c>
      <c r="AC38" s="8"/>
      <c r="AD38" s="69"/>
      <c r="AE38" s="69"/>
      <c r="AF38" s="11">
        <v>210000</v>
      </c>
      <c r="AG38" s="11">
        <f t="shared" si="7"/>
        <v>179487.179487179</v>
      </c>
      <c r="AH38" s="11">
        <f t="shared" si="11"/>
        <v>17948.7179487179</v>
      </c>
      <c r="AI38" s="11">
        <v>400</v>
      </c>
      <c r="AJ38" s="11">
        <f t="shared" si="12"/>
        <v>228348.717948718</v>
      </c>
      <c r="AK38" s="11">
        <f>AJ38*AE5</f>
        <v>30446.4957264956</v>
      </c>
      <c r="AL38" s="11">
        <f>(AJ38-AK38)*AE5</f>
        <v>26386.9629629629</v>
      </c>
      <c r="AM38" s="11">
        <f>(AJ38-AK38-AL38)*AE5</f>
        <v>22868.7012345679</v>
      </c>
      <c r="AN38" s="11">
        <f>(AJ38-AK38-AL38-AM38)*AE5</f>
        <v>19819.5410699588</v>
      </c>
      <c r="AO38" s="11">
        <f>(AJ38-AK38-AL38-AM38-AN38)*AE5</f>
        <v>17176.9355939643</v>
      </c>
      <c r="AP38" s="11">
        <f>(AJ38-AK38-AL38-AM38-AN38-AO38)*AE5</f>
        <v>14886.6775147691</v>
      </c>
      <c r="AQ38" s="11">
        <f>(AJ38-AK38-AL38-AM38-AN38-AO38-AP38)*AE5</f>
        <v>12901.7871794665</v>
      </c>
      <c r="AR38" s="11">
        <f>4/12*11181.55</f>
        <v>3727.18333333333</v>
      </c>
      <c r="AS38" s="11"/>
      <c r="AT38" s="11"/>
      <c r="AU38" s="11"/>
      <c r="AV38" s="11"/>
      <c r="AW38" s="11"/>
      <c r="AX38" s="11">
        <f t="shared" si="8"/>
        <v>148214.284615518</v>
      </c>
      <c r="AY38" s="11"/>
      <c r="AZ38" s="11"/>
      <c r="BA38" s="11">
        <f t="shared" si="9"/>
        <v>80134.4333331994</v>
      </c>
    </row>
    <row r="39" s="33" customFormat="1" ht="15" customHeight="1" spans="1:53">
      <c r="A39" s="8">
        <v>34</v>
      </c>
      <c r="B39" s="8" t="s">
        <v>74</v>
      </c>
      <c r="C39" s="8" t="s">
        <v>75</v>
      </c>
      <c r="D39" s="10" t="s">
        <v>76</v>
      </c>
      <c r="E39" s="8" t="s">
        <v>161</v>
      </c>
      <c r="F39" s="8" t="s">
        <v>153</v>
      </c>
      <c r="G39" s="42">
        <v>41008</v>
      </c>
      <c r="H39" s="43">
        <v>68000</v>
      </c>
      <c r="I39" s="11">
        <v>330127</v>
      </c>
      <c r="J39" s="11">
        <v>500000</v>
      </c>
      <c r="K39" s="8">
        <v>17</v>
      </c>
      <c r="L39" s="50">
        <v>45382</v>
      </c>
      <c r="M39" s="51">
        <f t="shared" ref="M39:M45" si="25">(L39-G39)/365*12</f>
        <v>143.802739726027</v>
      </c>
      <c r="N39" s="52">
        <f t="shared" ref="N39:N45" si="26">180-(L39-G39)/365*12</f>
        <v>36.1972602739726</v>
      </c>
      <c r="O39" s="11">
        <f t="shared" si="0"/>
        <v>169873</v>
      </c>
      <c r="P39" s="53">
        <v>43210</v>
      </c>
      <c r="Q39" s="53">
        <v>45401</v>
      </c>
      <c r="R39" s="11">
        <f t="shared" ref="R39:R64" si="27">(Q39-L39)/365*12</f>
        <v>0.624657534246575</v>
      </c>
      <c r="S39" s="11">
        <v>720</v>
      </c>
      <c r="T39" s="11">
        <f t="shared" si="1"/>
        <v>74211.9658119658</v>
      </c>
      <c r="U39" s="61">
        <f t="shared" si="21"/>
        <v>0.339746</v>
      </c>
      <c r="V39" s="11">
        <f t="shared" si="22"/>
        <v>25213.2185367521</v>
      </c>
      <c r="W39" s="11">
        <f t="shared" si="4"/>
        <v>74211.9658119658</v>
      </c>
      <c r="X39" s="61">
        <f t="shared" si="5"/>
        <v>0.200285620859799</v>
      </c>
      <c r="Y39" s="11">
        <f t="shared" si="6"/>
        <v>14863.5896478758</v>
      </c>
      <c r="Z39" s="11">
        <f t="shared" si="15"/>
        <v>74211.9658119658</v>
      </c>
      <c r="AA39" s="61">
        <f t="shared" ref="AA39:AA64" si="28">N39/180</f>
        <v>0.201095890410959</v>
      </c>
      <c r="AB39" s="11">
        <f t="shared" ref="AB39:AB64" si="29">Z39*AA39</f>
        <v>14923.7213441049</v>
      </c>
      <c r="AC39" s="8"/>
      <c r="AD39" s="69"/>
      <c r="AE39" s="69"/>
      <c r="AF39" s="11">
        <v>68000</v>
      </c>
      <c r="AG39" s="11">
        <f t="shared" si="7"/>
        <v>58119.6581196581</v>
      </c>
      <c r="AH39" s="11">
        <f t="shared" si="11"/>
        <v>5811.96581196581</v>
      </c>
      <c r="AI39" s="11">
        <v>400</v>
      </c>
      <c r="AJ39" s="11">
        <f t="shared" si="12"/>
        <v>74211.9658119658</v>
      </c>
      <c r="AK39" s="11">
        <f>AJ39*AE5</f>
        <v>9894.92877492875</v>
      </c>
      <c r="AL39" s="11">
        <f>(AJ39-AK39)*AE5</f>
        <v>8575.60493827159</v>
      </c>
      <c r="AM39" s="11">
        <f>(AJ39-AK39-AL39)*AE5</f>
        <v>7432.19094650205</v>
      </c>
      <c r="AN39" s="11">
        <f>(AJ39-AK39-AL39-AM39)*AE5</f>
        <v>6441.23215363511</v>
      </c>
      <c r="AO39" s="11">
        <f>(AJ39-AK39-AL39-AM39-AN39)*AE5</f>
        <v>5582.4011998171</v>
      </c>
      <c r="AP39" s="11">
        <f>(AJ39-AK39-AL39-AM39-AN39-AO39)*AE5</f>
        <v>4838.08103984149</v>
      </c>
      <c r="AQ39" s="11">
        <f>(AJ39-AK39-AL39-AM39-AN39-AO39-AP39)*AE5</f>
        <v>4193.00356786262</v>
      </c>
      <c r="AR39" s="11">
        <f>(AJ39-AK39-AL39-AM39-AN39-AO39-AP39-AQ39)*AE5</f>
        <v>3633.93642548094</v>
      </c>
      <c r="AS39" s="11">
        <f>(AJ39-AK39-AL39-AM39-AN39-AO39-AP39-AQ39-AR39)*AE5</f>
        <v>3149.41156875015</v>
      </c>
      <c r="AT39" s="11">
        <f>(AJ39-AK39-AL39-AM39-AN39-AO39-AP39-AQ39-AR39-AS39)*AE5</f>
        <v>2729.49002625013</v>
      </c>
      <c r="AU39" s="11">
        <f>(AJ39-AK39-AL39-AM39-AN39-AO39-AP39-AQ39-AR39-AS39-AT39)*AE5</f>
        <v>2365.55802275011</v>
      </c>
      <c r="AV39" s="11">
        <f>3/12*2050.15</f>
        <v>512.5375</v>
      </c>
      <c r="AW39" s="11"/>
      <c r="AX39" s="11">
        <f t="shared" si="8"/>
        <v>59348.37616409</v>
      </c>
      <c r="AY39" s="11"/>
      <c r="AZ39" s="11"/>
      <c r="BA39" s="11">
        <f t="shared" si="9"/>
        <v>14863.5896478758</v>
      </c>
    </row>
    <row r="40" s="33" customFormat="1" ht="15" customHeight="1" spans="1:53">
      <c r="A40" s="8">
        <v>35</v>
      </c>
      <c r="B40" s="8" t="s">
        <v>74</v>
      </c>
      <c r="C40" s="8" t="s">
        <v>77</v>
      </c>
      <c r="D40" s="10" t="s">
        <v>76</v>
      </c>
      <c r="E40" s="8" t="s">
        <v>161</v>
      </c>
      <c r="F40" s="8" t="s">
        <v>153</v>
      </c>
      <c r="G40" s="42">
        <v>40996</v>
      </c>
      <c r="H40" s="43">
        <v>68000</v>
      </c>
      <c r="I40" s="11">
        <v>441840</v>
      </c>
      <c r="J40" s="11">
        <v>500000</v>
      </c>
      <c r="K40" s="8">
        <v>17</v>
      </c>
      <c r="L40" s="50">
        <v>45382</v>
      </c>
      <c r="M40" s="51">
        <f t="shared" si="25"/>
        <v>144.197260273973</v>
      </c>
      <c r="N40" s="52">
        <f t="shared" si="26"/>
        <v>35.8027397260274</v>
      </c>
      <c r="O40" s="11">
        <f t="shared" si="0"/>
        <v>58160</v>
      </c>
      <c r="P40" s="53">
        <v>43210</v>
      </c>
      <c r="Q40" s="53">
        <v>45401</v>
      </c>
      <c r="R40" s="11">
        <f t="shared" si="27"/>
        <v>0.624657534246575</v>
      </c>
      <c r="S40" s="11">
        <v>720</v>
      </c>
      <c r="T40" s="11">
        <f t="shared" si="1"/>
        <v>74211.9658119658</v>
      </c>
      <c r="U40" s="61">
        <f t="shared" si="21"/>
        <v>0.11632</v>
      </c>
      <c r="V40" s="11">
        <f t="shared" si="22"/>
        <v>8632.33586324786</v>
      </c>
      <c r="W40" s="11">
        <f t="shared" si="4"/>
        <v>74211.9658119658</v>
      </c>
      <c r="X40" s="61">
        <f t="shared" si="5"/>
        <v>0.19798348761937</v>
      </c>
      <c r="Y40" s="11">
        <f t="shared" si="6"/>
        <v>14692.7438145425</v>
      </c>
      <c r="Z40" s="11">
        <f t="shared" si="15"/>
        <v>74211.9658119658</v>
      </c>
      <c r="AA40" s="61">
        <f t="shared" si="28"/>
        <v>0.198904109589041</v>
      </c>
      <c r="AB40" s="11">
        <f t="shared" si="29"/>
        <v>14761.0649806814</v>
      </c>
      <c r="AC40" s="8"/>
      <c r="AD40" s="69"/>
      <c r="AE40" s="69"/>
      <c r="AF40" s="11">
        <v>68000</v>
      </c>
      <c r="AG40" s="11">
        <f t="shared" si="7"/>
        <v>58119.6581196581</v>
      </c>
      <c r="AH40" s="11">
        <f t="shared" si="11"/>
        <v>5811.96581196581</v>
      </c>
      <c r="AI40" s="11">
        <v>400</v>
      </c>
      <c r="AJ40" s="11">
        <f t="shared" si="12"/>
        <v>74211.9658119658</v>
      </c>
      <c r="AK40" s="11">
        <f>AJ40*AE5</f>
        <v>9894.92877492875</v>
      </c>
      <c r="AL40" s="11">
        <f>(AJ40-AK40)*AE5</f>
        <v>8575.60493827159</v>
      </c>
      <c r="AM40" s="11">
        <f>(AJ40-AK40-AL40)*AE5</f>
        <v>7432.19094650205</v>
      </c>
      <c r="AN40" s="11">
        <f>(AJ40-AK40-AL40-AM40)*AE5</f>
        <v>6441.23215363511</v>
      </c>
      <c r="AO40" s="11">
        <f>(AJ40-AK40-AL40-AM40-AN40)*AE5</f>
        <v>5582.4011998171</v>
      </c>
      <c r="AP40" s="11">
        <f>(AJ40-AK40-AL40-AM40-AN40-AO40)*AE5</f>
        <v>4838.08103984149</v>
      </c>
      <c r="AQ40" s="11">
        <f>(AJ40-AK40-AL40-AM40-AN40-AO40-AP40)*AE5</f>
        <v>4193.00356786262</v>
      </c>
      <c r="AR40" s="11">
        <f>(AJ40-AK40-AL40-AM40-AN40-AO40-AP40-AQ40)*AE5</f>
        <v>3633.93642548094</v>
      </c>
      <c r="AS40" s="11">
        <f>(AJ40-AK40-AL40-AM40-AN40-AO40-AP40-AQ40-AR40)*AE5</f>
        <v>3149.41156875015</v>
      </c>
      <c r="AT40" s="11">
        <f>(AJ40-AK40-AL40-AM40-AN40-AO40-AP40-AQ40-AR40-AS40)*AE5</f>
        <v>2729.49002625013</v>
      </c>
      <c r="AU40" s="11">
        <f>(AJ40-AK40-AL40-AM40-AN40-AO40-AP40-AQ40-AR40-AS40-AT40)*AE5</f>
        <v>2365.55802275011</v>
      </c>
      <c r="AV40" s="11">
        <f>4/12*2050.15</f>
        <v>683.383333333333</v>
      </c>
      <c r="AW40" s="11"/>
      <c r="AX40" s="11">
        <f t="shared" si="8"/>
        <v>59519.2219974234</v>
      </c>
      <c r="AY40" s="11"/>
      <c r="AZ40" s="11"/>
      <c r="BA40" s="11">
        <f t="shared" si="9"/>
        <v>14692.7438145425</v>
      </c>
    </row>
    <row r="41" s="33" customFormat="1" ht="15" customHeight="1" spans="1:53">
      <c r="A41" s="8">
        <v>36</v>
      </c>
      <c r="B41" s="8" t="s">
        <v>74</v>
      </c>
      <c r="C41" s="8" t="s">
        <v>78</v>
      </c>
      <c r="D41" s="10" t="s">
        <v>76</v>
      </c>
      <c r="E41" s="8" t="s">
        <v>161</v>
      </c>
      <c r="F41" s="8" t="s">
        <v>153</v>
      </c>
      <c r="G41" s="42">
        <v>40996</v>
      </c>
      <c r="H41" s="43">
        <v>68000</v>
      </c>
      <c r="I41" s="11">
        <v>457000</v>
      </c>
      <c r="J41" s="11">
        <v>500000</v>
      </c>
      <c r="K41" s="8">
        <v>17</v>
      </c>
      <c r="L41" s="50">
        <v>45382</v>
      </c>
      <c r="M41" s="51">
        <f t="shared" si="25"/>
        <v>144.197260273973</v>
      </c>
      <c r="N41" s="52">
        <f t="shared" si="26"/>
        <v>35.8027397260274</v>
      </c>
      <c r="O41" s="11">
        <f t="shared" si="0"/>
        <v>43000</v>
      </c>
      <c r="P41" s="53">
        <v>43210</v>
      </c>
      <c r="Q41" s="53">
        <v>45401</v>
      </c>
      <c r="R41" s="11">
        <f t="shared" si="27"/>
        <v>0.624657534246575</v>
      </c>
      <c r="S41" s="11">
        <v>720</v>
      </c>
      <c r="T41" s="11">
        <f t="shared" si="1"/>
        <v>74211.9658119658</v>
      </c>
      <c r="U41" s="61">
        <f t="shared" si="21"/>
        <v>0.086</v>
      </c>
      <c r="V41" s="11">
        <f t="shared" si="22"/>
        <v>6382.22905982906</v>
      </c>
      <c r="W41" s="11">
        <f t="shared" si="4"/>
        <v>74211.9658119658</v>
      </c>
      <c r="X41" s="61">
        <f t="shared" si="5"/>
        <v>0.19798348761937</v>
      </c>
      <c r="Y41" s="11">
        <f t="shared" si="6"/>
        <v>14692.7438145425</v>
      </c>
      <c r="Z41" s="11">
        <f t="shared" si="15"/>
        <v>74211.9658119658</v>
      </c>
      <c r="AA41" s="61">
        <f t="shared" si="28"/>
        <v>0.198904109589041</v>
      </c>
      <c r="AB41" s="11">
        <f t="shared" si="29"/>
        <v>14761.0649806814</v>
      </c>
      <c r="AC41" s="8"/>
      <c r="AD41" s="69"/>
      <c r="AE41" s="69"/>
      <c r="AF41" s="11">
        <v>68000</v>
      </c>
      <c r="AG41" s="11">
        <f t="shared" si="7"/>
        <v>58119.6581196581</v>
      </c>
      <c r="AH41" s="11">
        <f t="shared" si="11"/>
        <v>5811.96581196581</v>
      </c>
      <c r="AI41" s="11">
        <v>400</v>
      </c>
      <c r="AJ41" s="11">
        <f t="shared" si="12"/>
        <v>74211.9658119658</v>
      </c>
      <c r="AK41" s="11">
        <f>AJ41*AE5</f>
        <v>9894.92877492875</v>
      </c>
      <c r="AL41" s="11">
        <f>(AJ41-AK41)*AE5</f>
        <v>8575.60493827159</v>
      </c>
      <c r="AM41" s="11">
        <f>(AJ41-AK41-AL41)*AE5</f>
        <v>7432.19094650205</v>
      </c>
      <c r="AN41" s="11">
        <f>(AJ41-AK41-AL41-AM41)*AE5</f>
        <v>6441.23215363511</v>
      </c>
      <c r="AO41" s="11">
        <f>(AJ41-AK41-AL41-AM41-AN41)*AE5</f>
        <v>5582.4011998171</v>
      </c>
      <c r="AP41" s="11">
        <f>(AJ41-AK41-AL41-AM41-AN41-AO41)*AE5</f>
        <v>4838.08103984149</v>
      </c>
      <c r="AQ41" s="11">
        <f>(AJ41-AK41-AL41-AM41-AN41-AO41-AP41)*AE5</f>
        <v>4193.00356786262</v>
      </c>
      <c r="AR41" s="11">
        <f>(AJ41-AK41-AL41-AM41-AN41-AO41-AP41-AQ41)*AE5</f>
        <v>3633.93642548094</v>
      </c>
      <c r="AS41" s="11">
        <f>(AJ41-AK41-AL41-AM41-AN41-AO41-AP41-AQ41-AR41)*AE5</f>
        <v>3149.41156875015</v>
      </c>
      <c r="AT41" s="11">
        <f>(AJ41-AK41-AL41-AM41-AN41-AO41-AP41-AQ41-AR41-AS41)*AE5</f>
        <v>2729.49002625013</v>
      </c>
      <c r="AU41" s="11">
        <f>(AJ41-AK41-AL41-AM41-AN41-AO41-AP41-AQ41-AR41-AS41-AT41)*AE5</f>
        <v>2365.55802275011</v>
      </c>
      <c r="AV41" s="11">
        <f>4/12*2050.15</f>
        <v>683.383333333333</v>
      </c>
      <c r="AW41" s="11"/>
      <c r="AX41" s="11">
        <f t="shared" si="8"/>
        <v>59519.2219974234</v>
      </c>
      <c r="AY41" s="11"/>
      <c r="AZ41" s="11"/>
      <c r="BA41" s="11">
        <f t="shared" si="9"/>
        <v>14692.7438145425</v>
      </c>
    </row>
    <row r="42" s="33" customFormat="1" ht="15" customHeight="1" spans="1:53">
      <c r="A42" s="8">
        <v>37</v>
      </c>
      <c r="B42" s="8" t="s">
        <v>74</v>
      </c>
      <c r="C42" s="8" t="s">
        <v>79</v>
      </c>
      <c r="D42" s="10" t="s">
        <v>76</v>
      </c>
      <c r="E42" s="8" t="s">
        <v>163</v>
      </c>
      <c r="F42" s="8" t="s">
        <v>153</v>
      </c>
      <c r="G42" s="42">
        <v>41247</v>
      </c>
      <c r="H42" s="43">
        <v>100000</v>
      </c>
      <c r="I42" s="11">
        <v>332000</v>
      </c>
      <c r="J42" s="11">
        <v>500000</v>
      </c>
      <c r="K42" s="8">
        <v>19</v>
      </c>
      <c r="L42" s="50">
        <v>45382</v>
      </c>
      <c r="M42" s="51">
        <f t="shared" si="25"/>
        <v>135.945205479452</v>
      </c>
      <c r="N42" s="52">
        <f t="shared" si="26"/>
        <v>44.0547945205479</v>
      </c>
      <c r="O42" s="11">
        <f t="shared" si="0"/>
        <v>168000</v>
      </c>
      <c r="P42" s="53">
        <v>43446</v>
      </c>
      <c r="Q42" s="53">
        <v>45637</v>
      </c>
      <c r="R42" s="11">
        <f t="shared" si="27"/>
        <v>8.38356164383562</v>
      </c>
      <c r="S42" s="11">
        <v>720</v>
      </c>
      <c r="T42" s="11">
        <f t="shared" si="1"/>
        <v>108947.008547009</v>
      </c>
      <c r="U42" s="61">
        <f t="shared" si="21"/>
        <v>0.336</v>
      </c>
      <c r="V42" s="11">
        <f t="shared" si="22"/>
        <v>36606.194871795</v>
      </c>
      <c r="W42" s="11">
        <f t="shared" si="4"/>
        <v>108947.008547009</v>
      </c>
      <c r="X42" s="61">
        <f t="shared" si="5"/>
        <v>0.19107706839701</v>
      </c>
      <c r="Y42" s="11">
        <f t="shared" si="6"/>
        <v>20817.2750037864</v>
      </c>
      <c r="Z42" s="11">
        <f t="shared" si="15"/>
        <v>108947.008547009</v>
      </c>
      <c r="AA42" s="61">
        <f t="shared" si="28"/>
        <v>0.244748858447489</v>
      </c>
      <c r="AB42" s="11">
        <f t="shared" si="29"/>
        <v>26664.6559731491</v>
      </c>
      <c r="AC42" s="8"/>
      <c r="AD42" s="69"/>
      <c r="AE42" s="69"/>
      <c r="AF42" s="11">
        <v>100000</v>
      </c>
      <c r="AG42" s="11">
        <f t="shared" si="7"/>
        <v>85470.0854700855</v>
      </c>
      <c r="AH42" s="11">
        <f t="shared" si="11"/>
        <v>8547.00854700855</v>
      </c>
      <c r="AI42" s="11">
        <v>400</v>
      </c>
      <c r="AJ42" s="11">
        <f t="shared" si="12"/>
        <v>108947.008547009</v>
      </c>
      <c r="AK42" s="11">
        <f>AJ42*AE5</f>
        <v>14526.2678062678</v>
      </c>
      <c r="AL42" s="11">
        <f>(AJ42-AK42)*AE5</f>
        <v>12589.4320987654</v>
      </c>
      <c r="AM42" s="11">
        <f>(AJ42-AK42-AL42)*AE5</f>
        <v>10910.8411522634</v>
      </c>
      <c r="AN42" s="11">
        <f>(AJ42-AK42-AL42-AM42)*AE5</f>
        <v>9456.06233196158</v>
      </c>
      <c r="AO42" s="11">
        <f>(AJ42-AK42-AL42-AM42-AN42)*AE5</f>
        <v>8195.25402103337</v>
      </c>
      <c r="AP42" s="11">
        <f>(AJ42-AK42-AL42-AM42-AN42-AO42)*AE5</f>
        <v>7102.55348489559</v>
      </c>
      <c r="AQ42" s="11">
        <f>(AJ42-AK42-AL42-AM42-AN42-AO42-AP42)*AE5</f>
        <v>6155.54635357618</v>
      </c>
      <c r="AR42" s="11">
        <f>(AJ42-AK42-AL42-AM42-AN42-AO42-AP42-AQ42)*AE5</f>
        <v>5334.80683976603</v>
      </c>
      <c r="AS42" s="11">
        <f>(AJ42-AK42-AL42-AM42-AN42-AO42-AP42-AQ42-AR42)*AE5</f>
        <v>4623.49926113056</v>
      </c>
      <c r="AT42" s="11">
        <f>(AJ42-AK42-AL42-AM42-AN42-AO42-AP42-AQ42-AR42-AS42)*AE5</f>
        <v>4007.03269297982</v>
      </c>
      <c r="AU42" s="11">
        <f>(AJ42-AK42-AL42-AM42-AN42-AO42-AP42-AQ42-AR42-AS42-AT42)*AE5</f>
        <v>3472.76166724918</v>
      </c>
      <c r="AV42" s="11">
        <f>7/12*3009.73</f>
        <v>1755.67583333333</v>
      </c>
      <c r="AW42" s="11"/>
      <c r="AX42" s="11">
        <f t="shared" si="8"/>
        <v>88129.7335432221</v>
      </c>
      <c r="AY42" s="11"/>
      <c r="AZ42" s="11"/>
      <c r="BA42" s="11">
        <f t="shared" si="9"/>
        <v>20817.2750037864</v>
      </c>
    </row>
    <row r="43" s="33" customFormat="1" ht="15" customHeight="1" spans="1:53">
      <c r="A43" s="8">
        <v>38</v>
      </c>
      <c r="B43" s="8" t="s">
        <v>74</v>
      </c>
      <c r="C43" s="8" t="s">
        <v>80</v>
      </c>
      <c r="D43" s="10" t="s">
        <v>76</v>
      </c>
      <c r="E43" s="8" t="s">
        <v>163</v>
      </c>
      <c r="F43" s="8" t="s">
        <v>153</v>
      </c>
      <c r="G43" s="42">
        <v>41247</v>
      </c>
      <c r="H43" s="43">
        <v>100000</v>
      </c>
      <c r="I43" s="11">
        <v>332000</v>
      </c>
      <c r="J43" s="11">
        <v>500000</v>
      </c>
      <c r="K43" s="8">
        <v>19</v>
      </c>
      <c r="L43" s="50">
        <v>45382</v>
      </c>
      <c r="M43" s="51">
        <f t="shared" si="25"/>
        <v>135.945205479452</v>
      </c>
      <c r="N43" s="52">
        <f t="shared" si="26"/>
        <v>44.0547945205479</v>
      </c>
      <c r="O43" s="11">
        <f t="shared" si="0"/>
        <v>168000</v>
      </c>
      <c r="P43" s="53">
        <v>43446</v>
      </c>
      <c r="Q43" s="53">
        <v>45637</v>
      </c>
      <c r="R43" s="11">
        <f t="shared" si="27"/>
        <v>8.38356164383562</v>
      </c>
      <c r="S43" s="11">
        <v>720</v>
      </c>
      <c r="T43" s="11">
        <f t="shared" si="1"/>
        <v>108947.008547009</v>
      </c>
      <c r="U43" s="61">
        <f t="shared" si="21"/>
        <v>0.336</v>
      </c>
      <c r="V43" s="11">
        <f t="shared" si="22"/>
        <v>36606.194871795</v>
      </c>
      <c r="W43" s="11">
        <f t="shared" si="4"/>
        <v>108947.008547009</v>
      </c>
      <c r="X43" s="61">
        <f t="shared" si="5"/>
        <v>0.19107706839701</v>
      </c>
      <c r="Y43" s="11">
        <f t="shared" si="6"/>
        <v>20817.2750037864</v>
      </c>
      <c r="Z43" s="11">
        <f t="shared" si="15"/>
        <v>108947.008547009</v>
      </c>
      <c r="AA43" s="61">
        <f t="shared" si="28"/>
        <v>0.244748858447489</v>
      </c>
      <c r="AB43" s="11">
        <f t="shared" si="29"/>
        <v>26664.6559731491</v>
      </c>
      <c r="AC43" s="8"/>
      <c r="AD43" s="69"/>
      <c r="AE43" s="69"/>
      <c r="AF43" s="11">
        <v>100000</v>
      </c>
      <c r="AG43" s="11">
        <f t="shared" si="7"/>
        <v>85470.0854700855</v>
      </c>
      <c r="AH43" s="11">
        <f t="shared" si="11"/>
        <v>8547.00854700855</v>
      </c>
      <c r="AI43" s="11">
        <v>400</v>
      </c>
      <c r="AJ43" s="11">
        <f t="shared" si="12"/>
        <v>108947.008547009</v>
      </c>
      <c r="AK43" s="11">
        <f>AJ43*AE5</f>
        <v>14526.2678062678</v>
      </c>
      <c r="AL43" s="11">
        <f>(AJ43-AK43)*AE5</f>
        <v>12589.4320987654</v>
      </c>
      <c r="AM43" s="11">
        <f>(AJ43-AK43-AL43)*AE5</f>
        <v>10910.8411522634</v>
      </c>
      <c r="AN43" s="11">
        <f>(AJ43-AK43-AL43-AM43)*AE5</f>
        <v>9456.06233196158</v>
      </c>
      <c r="AO43" s="11">
        <f>(AJ43-AK43-AL43-AM43-AN43)*AE5</f>
        <v>8195.25402103337</v>
      </c>
      <c r="AP43" s="11">
        <f>(AJ43-AK43-AL43-AM43-AN43-AO43)*AE5</f>
        <v>7102.55348489559</v>
      </c>
      <c r="AQ43" s="11">
        <f>(AJ43-AK43-AL43-AM43-AN43-AO43-AP43)*AE5</f>
        <v>6155.54635357618</v>
      </c>
      <c r="AR43" s="11">
        <f>(AJ43-AK43-AL43-AM43-AN43-AO43-AP43-AQ43)*AE5</f>
        <v>5334.80683976603</v>
      </c>
      <c r="AS43" s="11">
        <f>(AJ43-AK43-AL43-AM43-AN43-AO43-AP43-AQ43-AR43)*AE5</f>
        <v>4623.49926113056</v>
      </c>
      <c r="AT43" s="11">
        <f>(AJ43-AK43-AL43-AM43-AN43-AO43-AP43-AQ43-AR43-AS43)*AE5</f>
        <v>4007.03269297982</v>
      </c>
      <c r="AU43" s="11">
        <f>(AJ43-AK43-AL43-AM43-AN43-AO43-AP43-AQ43-AR43-AS43-AT43)*AE5</f>
        <v>3472.76166724918</v>
      </c>
      <c r="AV43" s="11">
        <f>7/12*3009.73</f>
        <v>1755.67583333333</v>
      </c>
      <c r="AW43" s="11"/>
      <c r="AX43" s="11">
        <f t="shared" si="8"/>
        <v>88129.7335432221</v>
      </c>
      <c r="AY43" s="11"/>
      <c r="AZ43" s="11"/>
      <c r="BA43" s="11">
        <f t="shared" si="9"/>
        <v>20817.2750037864</v>
      </c>
    </row>
    <row r="44" s="33" customFormat="1" ht="15" customHeight="1" spans="1:53">
      <c r="A44" s="8">
        <v>39</v>
      </c>
      <c r="B44" s="8" t="s">
        <v>74</v>
      </c>
      <c r="C44" s="8" t="s">
        <v>81</v>
      </c>
      <c r="D44" s="10" t="s">
        <v>76</v>
      </c>
      <c r="E44" s="8" t="s">
        <v>163</v>
      </c>
      <c r="F44" s="8" t="s">
        <v>153</v>
      </c>
      <c r="G44" s="42">
        <v>41716</v>
      </c>
      <c r="H44" s="43">
        <v>100000</v>
      </c>
      <c r="I44" s="11">
        <v>348567</v>
      </c>
      <c r="J44" s="11">
        <v>500000</v>
      </c>
      <c r="K44" s="8">
        <v>19</v>
      </c>
      <c r="L44" s="50">
        <v>45382</v>
      </c>
      <c r="M44" s="51">
        <f t="shared" si="25"/>
        <v>120.52602739726</v>
      </c>
      <c r="N44" s="52">
        <f t="shared" si="26"/>
        <v>59.4739726027397</v>
      </c>
      <c r="O44" s="11">
        <f t="shared" si="0"/>
        <v>151433</v>
      </c>
      <c r="P44" s="53">
        <v>43111</v>
      </c>
      <c r="Q44" s="53">
        <v>45301</v>
      </c>
      <c r="R44" s="11"/>
      <c r="S44" s="11">
        <v>720</v>
      </c>
      <c r="T44" s="11">
        <f t="shared" si="1"/>
        <v>108947.008547009</v>
      </c>
      <c r="U44" s="61">
        <f t="shared" si="21"/>
        <v>0.302866</v>
      </c>
      <c r="V44" s="11">
        <f t="shared" si="22"/>
        <v>32996.3446905984</v>
      </c>
      <c r="W44" s="11">
        <f t="shared" si="4"/>
        <v>108947.008547009</v>
      </c>
      <c r="X44" s="61">
        <f t="shared" si="5"/>
        <v>0.26358749004376</v>
      </c>
      <c r="Y44" s="11">
        <f t="shared" si="6"/>
        <v>28717.0685306821</v>
      </c>
      <c r="Z44" s="11">
        <f t="shared" si="15"/>
        <v>108947.008547009</v>
      </c>
      <c r="AA44" s="61">
        <f t="shared" si="28"/>
        <v>0.33041095890411</v>
      </c>
      <c r="AB44" s="11">
        <f t="shared" si="29"/>
        <v>35997.2855637513</v>
      </c>
      <c r="AC44" s="8"/>
      <c r="AD44" s="69"/>
      <c r="AE44" s="69"/>
      <c r="AF44" s="11">
        <v>100000</v>
      </c>
      <c r="AG44" s="11">
        <f t="shared" si="7"/>
        <v>85470.0854700855</v>
      </c>
      <c r="AH44" s="11">
        <f t="shared" si="11"/>
        <v>8547.00854700855</v>
      </c>
      <c r="AI44" s="11">
        <v>400</v>
      </c>
      <c r="AJ44" s="11">
        <f t="shared" si="12"/>
        <v>108947.008547009</v>
      </c>
      <c r="AK44" s="11">
        <f>AJ44*AE5</f>
        <v>14526.2678062678</v>
      </c>
      <c r="AL44" s="11">
        <f>(AJ44-AK44)*AE5</f>
        <v>12589.4320987654</v>
      </c>
      <c r="AM44" s="11">
        <f>(AJ44-AK44-AL44)*AE5</f>
        <v>10910.8411522634</v>
      </c>
      <c r="AN44" s="11">
        <f>(AJ44-AK44-AL44-AM44)*AE5</f>
        <v>9456.06233196158</v>
      </c>
      <c r="AO44" s="11">
        <f>(AJ44-AK44-AL44-AM44-AN44)*AE5</f>
        <v>8195.25402103337</v>
      </c>
      <c r="AP44" s="11">
        <f>(AJ44-AK44-AL44-AM44-AN44-AO44)*AE5</f>
        <v>7102.55348489559</v>
      </c>
      <c r="AQ44" s="11">
        <f>(AJ44-AK44-AL44-AM44-AN44-AO44-AP44)*AE5</f>
        <v>6155.54635357618</v>
      </c>
      <c r="AR44" s="11">
        <f>(AJ44-AK44-AL44-AM44-AN44-AO44-AP44-AQ44)*AE5</f>
        <v>5334.80683976603</v>
      </c>
      <c r="AS44" s="11">
        <f>(AJ44-AK44-AL44-AM44-AN44-AO44-AP44-AQ44-AR44)*AE5</f>
        <v>4623.49926113056</v>
      </c>
      <c r="AT44" s="11">
        <f t="shared" ref="AT44:AT47" si="30">4/12*4007.03</f>
        <v>1335.67666666667</v>
      </c>
      <c r="AU44" s="11"/>
      <c r="AV44" s="11"/>
      <c r="AW44" s="11"/>
      <c r="AX44" s="11">
        <f t="shared" si="8"/>
        <v>80229.9400163265</v>
      </c>
      <c r="AY44" s="11"/>
      <c r="AZ44" s="11"/>
      <c r="BA44" s="11">
        <f t="shared" si="9"/>
        <v>28717.0685306821</v>
      </c>
    </row>
    <row r="45" s="33" customFormat="1" ht="15" customHeight="1" spans="1:53">
      <c r="A45" s="8">
        <v>40</v>
      </c>
      <c r="B45" s="8" t="s">
        <v>74</v>
      </c>
      <c r="C45" s="8" t="s">
        <v>82</v>
      </c>
      <c r="D45" s="10" t="s">
        <v>76</v>
      </c>
      <c r="E45" s="8" t="s">
        <v>163</v>
      </c>
      <c r="F45" s="8" t="s">
        <v>153</v>
      </c>
      <c r="G45" s="42">
        <v>41716</v>
      </c>
      <c r="H45" s="43">
        <v>100000</v>
      </c>
      <c r="I45" s="11">
        <v>322000</v>
      </c>
      <c r="J45" s="11">
        <v>500000</v>
      </c>
      <c r="K45" s="8">
        <v>19</v>
      </c>
      <c r="L45" s="50">
        <v>45382</v>
      </c>
      <c r="M45" s="51">
        <f t="shared" ref="M45:M52" si="31">(L45-G45)/365*12</f>
        <v>120.52602739726</v>
      </c>
      <c r="N45" s="52">
        <f t="shared" ref="N45:N52" si="32">180-(L45-G45)/365*12</f>
        <v>59.4739726027397</v>
      </c>
      <c r="O45" s="11">
        <f t="shared" si="0"/>
        <v>178000</v>
      </c>
      <c r="P45" s="53">
        <v>43282</v>
      </c>
      <c r="Q45" s="53">
        <v>45473</v>
      </c>
      <c r="R45" s="11">
        <f t="shared" si="27"/>
        <v>2.99178082191781</v>
      </c>
      <c r="S45" s="11">
        <v>720</v>
      </c>
      <c r="T45" s="11">
        <f t="shared" si="1"/>
        <v>108947.008547009</v>
      </c>
      <c r="U45" s="61">
        <f t="shared" si="21"/>
        <v>0.356</v>
      </c>
      <c r="V45" s="11">
        <f t="shared" si="22"/>
        <v>38785.1350427352</v>
      </c>
      <c r="W45" s="11">
        <f t="shared" si="4"/>
        <v>108947.008547009</v>
      </c>
      <c r="X45" s="61">
        <f t="shared" si="5"/>
        <v>0.26358749004376</v>
      </c>
      <c r="Y45" s="11">
        <f t="shared" si="6"/>
        <v>28717.0685306821</v>
      </c>
      <c r="Z45" s="11">
        <f t="shared" si="15"/>
        <v>108947.008547009</v>
      </c>
      <c r="AA45" s="61">
        <f t="shared" si="28"/>
        <v>0.33041095890411</v>
      </c>
      <c r="AB45" s="11">
        <f t="shared" si="29"/>
        <v>35997.2855637513</v>
      </c>
      <c r="AC45" s="8"/>
      <c r="AD45" s="69"/>
      <c r="AE45" s="69"/>
      <c r="AF45" s="11">
        <v>100000</v>
      </c>
      <c r="AG45" s="11">
        <f t="shared" si="7"/>
        <v>85470.0854700855</v>
      </c>
      <c r="AH45" s="11">
        <f t="shared" si="11"/>
        <v>8547.00854700855</v>
      </c>
      <c r="AI45" s="11">
        <v>400</v>
      </c>
      <c r="AJ45" s="11">
        <f t="shared" si="12"/>
        <v>108947.008547009</v>
      </c>
      <c r="AK45" s="11">
        <f>AJ45*AE5</f>
        <v>14526.2678062678</v>
      </c>
      <c r="AL45" s="11">
        <f>(AJ45-AK45)*AE5</f>
        <v>12589.4320987654</v>
      </c>
      <c r="AM45" s="11">
        <f>(AJ45-AK45-AL45)*AE5</f>
        <v>10910.8411522634</v>
      </c>
      <c r="AN45" s="11">
        <f>(AJ45-AK45-AL45-AM45)*AE5</f>
        <v>9456.06233196158</v>
      </c>
      <c r="AO45" s="11">
        <f>(AJ45-AK45-AL45-AM45-AN45)*AE5</f>
        <v>8195.25402103337</v>
      </c>
      <c r="AP45" s="11">
        <f>(AJ45-AK45-AL45-AM45-AN45-AO45)*AE5</f>
        <v>7102.55348489559</v>
      </c>
      <c r="AQ45" s="11">
        <f>(AJ45-AK45-AL45-AM45-AN45-AO45-AP45)*AE5</f>
        <v>6155.54635357618</v>
      </c>
      <c r="AR45" s="11">
        <f>(AJ45-AK45-AL45-AM45-AN45-AO45-AP45-AQ45)*AE5</f>
        <v>5334.80683976603</v>
      </c>
      <c r="AS45" s="11">
        <f>(AJ45-AK45-AL45-AM45-AN45-AO45-AP45-AQ45-AR45)*AE5</f>
        <v>4623.49926113056</v>
      </c>
      <c r="AT45" s="11">
        <f t="shared" si="30"/>
        <v>1335.67666666667</v>
      </c>
      <c r="AU45" s="11"/>
      <c r="AV45" s="11"/>
      <c r="AW45" s="11"/>
      <c r="AX45" s="11">
        <f t="shared" si="8"/>
        <v>80229.9400163265</v>
      </c>
      <c r="AY45" s="11"/>
      <c r="AZ45" s="11"/>
      <c r="BA45" s="11">
        <f t="shared" si="9"/>
        <v>28717.0685306821</v>
      </c>
    </row>
    <row r="46" s="33" customFormat="1" ht="15" customHeight="1" spans="1:53">
      <c r="A46" s="8">
        <v>41</v>
      </c>
      <c r="B46" s="8" t="s">
        <v>74</v>
      </c>
      <c r="C46" s="8" t="s">
        <v>83</v>
      </c>
      <c r="D46" s="10" t="s">
        <v>76</v>
      </c>
      <c r="E46" s="8" t="s">
        <v>163</v>
      </c>
      <c r="F46" s="8" t="s">
        <v>153</v>
      </c>
      <c r="G46" s="42">
        <v>41716</v>
      </c>
      <c r="H46" s="43">
        <v>100000</v>
      </c>
      <c r="I46" s="11">
        <v>320000</v>
      </c>
      <c r="J46" s="11">
        <v>500000</v>
      </c>
      <c r="K46" s="8">
        <v>19</v>
      </c>
      <c r="L46" s="50">
        <v>45382</v>
      </c>
      <c r="M46" s="51">
        <f t="shared" si="31"/>
        <v>120.52602739726</v>
      </c>
      <c r="N46" s="52">
        <f t="shared" si="32"/>
        <v>59.4739726027397</v>
      </c>
      <c r="O46" s="11">
        <f t="shared" si="0"/>
        <v>180000</v>
      </c>
      <c r="P46" s="53">
        <v>45027</v>
      </c>
      <c r="Q46" s="53">
        <v>46487</v>
      </c>
      <c r="R46" s="11">
        <f t="shared" si="27"/>
        <v>36.3287671232877</v>
      </c>
      <c r="S46" s="11">
        <v>720</v>
      </c>
      <c r="T46" s="11">
        <f t="shared" si="1"/>
        <v>108947.008547009</v>
      </c>
      <c r="U46" s="61">
        <f t="shared" si="21"/>
        <v>0.36</v>
      </c>
      <c r="V46" s="11">
        <f t="shared" si="22"/>
        <v>39220.9230769232</v>
      </c>
      <c r="W46" s="11">
        <f t="shared" si="4"/>
        <v>108947.008547009</v>
      </c>
      <c r="X46" s="61">
        <f t="shared" si="5"/>
        <v>0.26358749004376</v>
      </c>
      <c r="Y46" s="11">
        <f t="shared" si="6"/>
        <v>28717.0685306821</v>
      </c>
      <c r="Z46" s="11">
        <f t="shared" si="15"/>
        <v>108947.008547009</v>
      </c>
      <c r="AA46" s="61">
        <f t="shared" si="28"/>
        <v>0.33041095890411</v>
      </c>
      <c r="AB46" s="11">
        <f t="shared" si="29"/>
        <v>35997.2855637513</v>
      </c>
      <c r="AC46" s="8"/>
      <c r="AD46" s="69"/>
      <c r="AE46" s="69"/>
      <c r="AF46" s="11">
        <v>100000</v>
      </c>
      <c r="AG46" s="11">
        <f t="shared" si="7"/>
        <v>85470.0854700855</v>
      </c>
      <c r="AH46" s="11">
        <f t="shared" si="11"/>
        <v>8547.00854700855</v>
      </c>
      <c r="AI46" s="11">
        <v>400</v>
      </c>
      <c r="AJ46" s="11">
        <f t="shared" si="12"/>
        <v>108947.008547009</v>
      </c>
      <c r="AK46" s="11">
        <f>AJ46*AE5</f>
        <v>14526.2678062678</v>
      </c>
      <c r="AL46" s="11">
        <f>(AJ46-AK46)*AE5</f>
        <v>12589.4320987654</v>
      </c>
      <c r="AM46" s="11">
        <f>(AJ46-AK46-AL46)*AE5</f>
        <v>10910.8411522634</v>
      </c>
      <c r="AN46" s="11">
        <f>(AJ46-AK46-AL46-AM46)*AE5</f>
        <v>9456.06233196158</v>
      </c>
      <c r="AO46" s="11">
        <f>(AJ46-AK46-AL46-AM46-AN46)*AE5</f>
        <v>8195.25402103337</v>
      </c>
      <c r="AP46" s="11">
        <f>(AJ46-AK46-AL46-AM46-AN46-AO46)*AE5</f>
        <v>7102.55348489559</v>
      </c>
      <c r="AQ46" s="11">
        <f>(AJ46-AK46-AL46-AM46-AN46-AO46-AP46)*AE5</f>
        <v>6155.54635357618</v>
      </c>
      <c r="AR46" s="11">
        <f>(AJ46-AK46-AL46-AM46-AN46-AO46-AP46-AQ46)*AE5</f>
        <v>5334.80683976603</v>
      </c>
      <c r="AS46" s="11">
        <f>(AJ46-AK46-AL46-AM46-AN46-AO46-AP46-AQ46-AR46)*AE5</f>
        <v>4623.49926113056</v>
      </c>
      <c r="AT46" s="11">
        <f t="shared" si="30"/>
        <v>1335.67666666667</v>
      </c>
      <c r="AU46" s="11"/>
      <c r="AV46" s="11"/>
      <c r="AW46" s="11"/>
      <c r="AX46" s="11">
        <f t="shared" si="8"/>
        <v>80229.9400163265</v>
      </c>
      <c r="AY46" s="11"/>
      <c r="AZ46" s="11"/>
      <c r="BA46" s="11">
        <f t="shared" si="9"/>
        <v>28717.0685306821</v>
      </c>
    </row>
    <row r="47" s="33" customFormat="1" ht="15" customHeight="1" spans="1:53">
      <c r="A47" s="8">
        <v>42</v>
      </c>
      <c r="B47" s="8" t="s">
        <v>74</v>
      </c>
      <c r="C47" s="8" t="s">
        <v>84</v>
      </c>
      <c r="D47" s="10" t="s">
        <v>76</v>
      </c>
      <c r="E47" s="8" t="s">
        <v>163</v>
      </c>
      <c r="F47" s="8" t="s">
        <v>153</v>
      </c>
      <c r="G47" s="42">
        <v>41716</v>
      </c>
      <c r="H47" s="43">
        <v>100000</v>
      </c>
      <c r="I47" s="11">
        <v>78630</v>
      </c>
      <c r="J47" s="11">
        <v>500000</v>
      </c>
      <c r="K47" s="8">
        <v>19</v>
      </c>
      <c r="L47" s="50">
        <v>45382</v>
      </c>
      <c r="M47" s="51">
        <f t="shared" si="31"/>
        <v>120.52602739726</v>
      </c>
      <c r="N47" s="52">
        <f t="shared" si="32"/>
        <v>59.4739726027397</v>
      </c>
      <c r="O47" s="11">
        <f t="shared" si="0"/>
        <v>421370</v>
      </c>
      <c r="P47" s="53">
        <v>45027</v>
      </c>
      <c r="Q47" s="53">
        <v>46487</v>
      </c>
      <c r="R47" s="11">
        <f t="shared" si="27"/>
        <v>36.3287671232877</v>
      </c>
      <c r="S47" s="11">
        <v>720</v>
      </c>
      <c r="T47" s="11">
        <f t="shared" si="1"/>
        <v>108947.008547009</v>
      </c>
      <c r="U47" s="61">
        <f t="shared" si="21"/>
        <v>0.84274</v>
      </c>
      <c r="V47" s="11">
        <f t="shared" si="22"/>
        <v>91814.0019829064</v>
      </c>
      <c r="W47" s="11">
        <f t="shared" si="4"/>
        <v>108947.008547009</v>
      </c>
      <c r="X47" s="61">
        <f t="shared" si="5"/>
        <v>0.26358749004376</v>
      </c>
      <c r="Y47" s="11">
        <f t="shared" si="6"/>
        <v>28717.0685306821</v>
      </c>
      <c r="Z47" s="11">
        <f t="shared" si="15"/>
        <v>108947.008547009</v>
      </c>
      <c r="AA47" s="61">
        <f t="shared" si="28"/>
        <v>0.33041095890411</v>
      </c>
      <c r="AB47" s="11">
        <f t="shared" si="29"/>
        <v>35997.2855637513</v>
      </c>
      <c r="AC47" s="8"/>
      <c r="AD47" s="69"/>
      <c r="AE47" s="69"/>
      <c r="AF47" s="11">
        <v>100000</v>
      </c>
      <c r="AG47" s="11">
        <f t="shared" si="7"/>
        <v>85470.0854700855</v>
      </c>
      <c r="AH47" s="11">
        <f t="shared" si="11"/>
        <v>8547.00854700855</v>
      </c>
      <c r="AI47" s="11">
        <v>400</v>
      </c>
      <c r="AJ47" s="11">
        <f t="shared" si="12"/>
        <v>108947.008547009</v>
      </c>
      <c r="AK47" s="11">
        <f>AJ47*AE5</f>
        <v>14526.2678062678</v>
      </c>
      <c r="AL47" s="11">
        <f>(AJ47-AK47)*AE5</f>
        <v>12589.4320987654</v>
      </c>
      <c r="AM47" s="11">
        <f>(AJ47-AK47-AL47)*AE5</f>
        <v>10910.8411522634</v>
      </c>
      <c r="AN47" s="11">
        <f>(AJ47-AK47-AL47-AM47)*AE5</f>
        <v>9456.06233196158</v>
      </c>
      <c r="AO47" s="11">
        <f>(AJ47-AK47-AL47-AM47-AN47)*AE5</f>
        <v>8195.25402103337</v>
      </c>
      <c r="AP47" s="11">
        <f>(AJ47-AK47-AL47-AM47-AN47-AO47)*AE5</f>
        <v>7102.55348489559</v>
      </c>
      <c r="AQ47" s="11">
        <f>(AJ47-AK47-AL47-AM47-AN47-AO47-AP47)*AE5</f>
        <v>6155.54635357618</v>
      </c>
      <c r="AR47" s="11">
        <f>(AJ47-AK47-AL47-AM47-AN47-AO47-AP47-AQ47)*AE5</f>
        <v>5334.80683976603</v>
      </c>
      <c r="AS47" s="11">
        <f>(AJ47-AK47-AL47-AM47-AN47-AO47-AP47-AQ47-AR47)*AE5</f>
        <v>4623.49926113056</v>
      </c>
      <c r="AT47" s="11">
        <f t="shared" si="30"/>
        <v>1335.67666666667</v>
      </c>
      <c r="AU47" s="11"/>
      <c r="AV47" s="11"/>
      <c r="AW47" s="11"/>
      <c r="AX47" s="11">
        <f t="shared" si="8"/>
        <v>80229.9400163265</v>
      </c>
      <c r="AY47" s="11"/>
      <c r="AZ47" s="11"/>
      <c r="BA47" s="11">
        <f t="shared" si="9"/>
        <v>28717.0685306821</v>
      </c>
    </row>
    <row r="48" s="33" customFormat="1" ht="15" customHeight="1" spans="1:53">
      <c r="A48" s="8">
        <v>43</v>
      </c>
      <c r="B48" s="8" t="s">
        <v>74</v>
      </c>
      <c r="C48" s="8" t="s">
        <v>85</v>
      </c>
      <c r="D48" s="10" t="s">
        <v>76</v>
      </c>
      <c r="E48" s="8" t="s">
        <v>160</v>
      </c>
      <c r="F48" s="8" t="s">
        <v>153</v>
      </c>
      <c r="G48" s="42">
        <v>43265</v>
      </c>
      <c r="H48" s="43">
        <v>98000</v>
      </c>
      <c r="I48" s="11">
        <v>257229</v>
      </c>
      <c r="J48" s="11">
        <v>500000</v>
      </c>
      <c r="K48" s="8">
        <v>19</v>
      </c>
      <c r="L48" s="50">
        <v>45382</v>
      </c>
      <c r="M48" s="51">
        <f t="shared" si="31"/>
        <v>69.6</v>
      </c>
      <c r="N48" s="52">
        <f t="shared" si="32"/>
        <v>110.4</v>
      </c>
      <c r="O48" s="11">
        <f t="shared" si="0"/>
        <v>242771</v>
      </c>
      <c r="P48" s="53">
        <v>43210</v>
      </c>
      <c r="Q48" s="53">
        <v>45401</v>
      </c>
      <c r="R48" s="11">
        <f t="shared" si="27"/>
        <v>0.624657534246575</v>
      </c>
      <c r="S48" s="11">
        <v>720</v>
      </c>
      <c r="T48" s="11">
        <f t="shared" si="1"/>
        <v>106776.068376068</v>
      </c>
      <c r="U48" s="61">
        <f t="shared" si="21"/>
        <v>0.485542</v>
      </c>
      <c r="V48" s="11">
        <f t="shared" si="22"/>
        <v>51844.2657914528</v>
      </c>
      <c r="W48" s="11">
        <f t="shared" si="4"/>
        <v>106776.068376068</v>
      </c>
      <c r="X48" s="61">
        <f t="shared" si="5"/>
        <v>0.48351278955378</v>
      </c>
      <c r="Y48" s="11">
        <f t="shared" si="6"/>
        <v>51627.594678098</v>
      </c>
      <c r="Z48" s="11">
        <f t="shared" si="15"/>
        <v>106776.068376068</v>
      </c>
      <c r="AA48" s="61">
        <f t="shared" si="28"/>
        <v>0.613333333333333</v>
      </c>
      <c r="AB48" s="11">
        <f t="shared" si="29"/>
        <v>65489.3219373219</v>
      </c>
      <c r="AC48" s="8"/>
      <c r="AD48" s="69"/>
      <c r="AE48" s="69"/>
      <c r="AF48" s="11">
        <v>98000</v>
      </c>
      <c r="AG48" s="11">
        <f t="shared" si="7"/>
        <v>83760.6837606838</v>
      </c>
      <c r="AH48" s="11">
        <f t="shared" si="11"/>
        <v>8376.06837606838</v>
      </c>
      <c r="AI48" s="11">
        <v>400</v>
      </c>
      <c r="AJ48" s="11">
        <f t="shared" si="12"/>
        <v>106776.068376068</v>
      </c>
      <c r="AK48" s="11">
        <f>AJ48*AE5</f>
        <v>14236.8091168091</v>
      </c>
      <c r="AL48" s="11">
        <f>(AJ48-AK48)*AE5</f>
        <v>12338.5679012345</v>
      </c>
      <c r="AM48" s="11">
        <f>(AJ48-AK48-AL48)*AE5</f>
        <v>10693.4255144033</v>
      </c>
      <c r="AN48" s="11">
        <f>(AJ48-AK48-AL48-AM48)*AE5</f>
        <v>9267.63544581617</v>
      </c>
      <c r="AO48" s="11">
        <f>(AJ48-AK48-AL48-AM48-AN48)*AE5</f>
        <v>8031.95071970735</v>
      </c>
      <c r="AP48" s="11">
        <f>1/12*6961.02</f>
        <v>580.085</v>
      </c>
      <c r="AQ48" s="11"/>
      <c r="AR48" s="11"/>
      <c r="AS48" s="11"/>
      <c r="AT48" s="11"/>
      <c r="AU48" s="11"/>
      <c r="AV48" s="11"/>
      <c r="AW48" s="11"/>
      <c r="AX48" s="11">
        <f t="shared" si="8"/>
        <v>55148.4736979704</v>
      </c>
      <c r="AY48" s="11"/>
      <c r="AZ48" s="11"/>
      <c r="BA48" s="11">
        <f t="shared" si="9"/>
        <v>51627.594678098</v>
      </c>
    </row>
    <row r="49" s="33" customFormat="1" ht="15" customHeight="1" spans="1:53">
      <c r="A49" s="8">
        <v>44</v>
      </c>
      <c r="B49" s="8" t="s">
        <v>74</v>
      </c>
      <c r="C49" s="8" t="s">
        <v>86</v>
      </c>
      <c r="D49" s="10" t="s">
        <v>76</v>
      </c>
      <c r="E49" s="8" t="s">
        <v>160</v>
      </c>
      <c r="F49" s="8" t="s">
        <v>153</v>
      </c>
      <c r="G49" s="42">
        <v>42865</v>
      </c>
      <c r="H49" s="43">
        <v>98000</v>
      </c>
      <c r="I49" s="11">
        <v>233166</v>
      </c>
      <c r="J49" s="11">
        <v>500000</v>
      </c>
      <c r="K49" s="8">
        <v>19</v>
      </c>
      <c r="L49" s="50">
        <v>45382</v>
      </c>
      <c r="M49" s="51">
        <f t="shared" si="31"/>
        <v>82.7506849315068</v>
      </c>
      <c r="N49" s="52">
        <f t="shared" si="32"/>
        <v>97.2493150684932</v>
      </c>
      <c r="O49" s="11">
        <f t="shared" si="0"/>
        <v>266834</v>
      </c>
      <c r="P49" s="53">
        <v>43210</v>
      </c>
      <c r="Q49" s="53">
        <v>45401</v>
      </c>
      <c r="R49" s="11">
        <f t="shared" si="27"/>
        <v>0.624657534246575</v>
      </c>
      <c r="S49" s="11">
        <v>720</v>
      </c>
      <c r="T49" s="11">
        <f t="shared" si="1"/>
        <v>106776.068376068</v>
      </c>
      <c r="U49" s="61">
        <f t="shared" si="21"/>
        <v>0.533668</v>
      </c>
      <c r="V49" s="11">
        <f t="shared" si="22"/>
        <v>56982.9708581195</v>
      </c>
      <c r="W49" s="11">
        <f t="shared" si="4"/>
        <v>106776.068376068</v>
      </c>
      <c r="X49" s="61">
        <f t="shared" si="5"/>
        <v>0.414336046711637</v>
      </c>
      <c r="Y49" s="11">
        <f t="shared" si="6"/>
        <v>44241.1740543516</v>
      </c>
      <c r="Z49" s="11">
        <f t="shared" si="15"/>
        <v>106776.068376068</v>
      </c>
      <c r="AA49" s="61">
        <f t="shared" si="28"/>
        <v>0.54027397260274</v>
      </c>
      <c r="AB49" s="11">
        <f t="shared" si="29"/>
        <v>57688.3306404402</v>
      </c>
      <c r="AC49" s="8"/>
      <c r="AD49" s="69"/>
      <c r="AE49" s="69"/>
      <c r="AF49" s="11">
        <v>98000</v>
      </c>
      <c r="AG49" s="11">
        <f t="shared" si="7"/>
        <v>83760.6837606838</v>
      </c>
      <c r="AH49" s="11">
        <f t="shared" si="11"/>
        <v>8376.06837606838</v>
      </c>
      <c r="AI49" s="11">
        <v>400</v>
      </c>
      <c r="AJ49" s="11">
        <f t="shared" si="12"/>
        <v>106776.068376068</v>
      </c>
      <c r="AK49" s="11">
        <f>AJ49*AE5</f>
        <v>14236.8091168091</v>
      </c>
      <c r="AL49" s="11">
        <f>(AJ49-AK49)*AE5</f>
        <v>12338.5679012345</v>
      </c>
      <c r="AM49" s="11">
        <f>(AJ49-AK49-AL49)*AE5</f>
        <v>10693.4255144033</v>
      </c>
      <c r="AN49" s="11">
        <f>(AJ49-AK49-AL49-AM49)*AE5</f>
        <v>9267.63544581617</v>
      </c>
      <c r="AO49" s="11">
        <f>(AJ49-AK49-AL49-AM49-AN49)*AE5</f>
        <v>8031.95071970735</v>
      </c>
      <c r="AP49" s="11">
        <f>(AJ49-AK49-AL49-AM49-AN49-AO49)*AE5</f>
        <v>6961.02395707971</v>
      </c>
      <c r="AQ49" s="11">
        <f>2/12*6032.89</f>
        <v>1005.48166666667</v>
      </c>
      <c r="AR49" s="11"/>
      <c r="AS49" s="11"/>
      <c r="AT49" s="11"/>
      <c r="AU49" s="11"/>
      <c r="AV49" s="11"/>
      <c r="AW49" s="11"/>
      <c r="AX49" s="11">
        <f t="shared" si="8"/>
        <v>62534.8943217168</v>
      </c>
      <c r="AY49" s="11"/>
      <c r="AZ49" s="11"/>
      <c r="BA49" s="11">
        <f t="shared" si="9"/>
        <v>44241.1740543516</v>
      </c>
    </row>
    <row r="50" s="33" customFormat="1" ht="15" customHeight="1" spans="1:53">
      <c r="A50" s="8">
        <v>45</v>
      </c>
      <c r="B50" s="8" t="s">
        <v>87</v>
      </c>
      <c r="C50" s="8" t="s">
        <v>88</v>
      </c>
      <c r="D50" s="10" t="s">
        <v>76</v>
      </c>
      <c r="E50" s="8" t="s">
        <v>163</v>
      </c>
      <c r="F50" s="8" t="s">
        <v>153</v>
      </c>
      <c r="G50" s="42">
        <v>41719</v>
      </c>
      <c r="H50" s="43">
        <v>100000</v>
      </c>
      <c r="I50" s="11">
        <v>272720</v>
      </c>
      <c r="J50" s="11">
        <v>500000</v>
      </c>
      <c r="K50" s="8">
        <v>19</v>
      </c>
      <c r="L50" s="50">
        <v>45382</v>
      </c>
      <c r="M50" s="51">
        <f t="shared" si="31"/>
        <v>120.427397260274</v>
      </c>
      <c r="N50" s="52">
        <f t="shared" si="32"/>
        <v>59.572602739726</v>
      </c>
      <c r="O50" s="11">
        <f t="shared" si="0"/>
        <v>227280</v>
      </c>
      <c r="P50" s="53">
        <v>45027</v>
      </c>
      <c r="Q50" s="53">
        <v>46487</v>
      </c>
      <c r="R50" s="11">
        <f t="shared" si="27"/>
        <v>36.3287671232877</v>
      </c>
      <c r="S50" s="11">
        <v>720</v>
      </c>
      <c r="T50" s="11">
        <f t="shared" si="1"/>
        <v>108947.008547009</v>
      </c>
      <c r="U50" s="61">
        <f t="shared" si="21"/>
        <v>0.45456</v>
      </c>
      <c r="V50" s="11">
        <f t="shared" si="22"/>
        <v>49522.9522051284</v>
      </c>
      <c r="W50" s="11">
        <f t="shared" si="4"/>
        <v>108947.008547009</v>
      </c>
      <c r="X50" s="61">
        <f t="shared" si="5"/>
        <v>0.26358749004376</v>
      </c>
      <c r="Y50" s="11">
        <f t="shared" si="6"/>
        <v>28717.0685306821</v>
      </c>
      <c r="Z50" s="11">
        <f t="shared" si="15"/>
        <v>108947.008547009</v>
      </c>
      <c r="AA50" s="61">
        <f t="shared" si="28"/>
        <v>0.330958904109589</v>
      </c>
      <c r="AB50" s="11">
        <f t="shared" si="29"/>
        <v>36056.982554736</v>
      </c>
      <c r="AC50" s="8"/>
      <c r="AD50" s="69"/>
      <c r="AE50" s="69"/>
      <c r="AF50" s="11">
        <v>100000</v>
      </c>
      <c r="AG50" s="11">
        <f t="shared" si="7"/>
        <v>85470.0854700855</v>
      </c>
      <c r="AH50" s="11">
        <f t="shared" si="11"/>
        <v>8547.00854700855</v>
      </c>
      <c r="AI50" s="11">
        <v>400</v>
      </c>
      <c r="AJ50" s="11">
        <f t="shared" si="12"/>
        <v>108947.008547009</v>
      </c>
      <c r="AK50" s="11">
        <f>AJ50*AE5</f>
        <v>14526.2678062678</v>
      </c>
      <c r="AL50" s="11">
        <f>(AJ50-AK50)*AE5</f>
        <v>12589.4320987654</v>
      </c>
      <c r="AM50" s="11">
        <f>(AJ50-AK50-AL50)*AE5</f>
        <v>10910.8411522634</v>
      </c>
      <c r="AN50" s="11">
        <f>(AJ50-AK50-AL50-AM50)*AE5</f>
        <v>9456.06233196158</v>
      </c>
      <c r="AO50" s="11">
        <f>(AJ50-AK50-AL50-AM50-AN50)*AE5</f>
        <v>8195.25402103337</v>
      </c>
      <c r="AP50" s="11">
        <f>(AJ50-AK50-AL50-AM50-AN50-AO50)*AE5</f>
        <v>7102.55348489559</v>
      </c>
      <c r="AQ50" s="11">
        <f>(AJ50-AK50-AL50-AM50-AN50-AO50-AP50)*AE5</f>
        <v>6155.54635357618</v>
      </c>
      <c r="AR50" s="11">
        <f>(AJ50-AK50-AL50-AM50-AN50-AO50-AP50-AQ50)*AE5</f>
        <v>5334.80683976603</v>
      </c>
      <c r="AS50" s="11">
        <f>(AJ50-AK50-AL50-AM50-AN50-AO50-AP50-AQ50-AR50)*AE5</f>
        <v>4623.49926113056</v>
      </c>
      <c r="AT50" s="11">
        <f>4/12*4007.03</f>
        <v>1335.67666666667</v>
      </c>
      <c r="AU50" s="11"/>
      <c r="AV50" s="11"/>
      <c r="AW50" s="11"/>
      <c r="AX50" s="11">
        <f t="shared" si="8"/>
        <v>80229.9400163265</v>
      </c>
      <c r="AY50" s="11"/>
      <c r="AZ50" s="11"/>
      <c r="BA50" s="11">
        <f t="shared" si="9"/>
        <v>28717.0685306821</v>
      </c>
    </row>
    <row r="51" s="33" customFormat="1" ht="15" customHeight="1" spans="1:53">
      <c r="A51" s="8">
        <v>46</v>
      </c>
      <c r="B51" s="8" t="s">
        <v>89</v>
      </c>
      <c r="C51" s="8" t="s">
        <v>90</v>
      </c>
      <c r="D51" s="10" t="s">
        <v>91</v>
      </c>
      <c r="E51" s="8" t="s">
        <v>154</v>
      </c>
      <c r="F51" s="8" t="s">
        <v>153</v>
      </c>
      <c r="G51" s="42">
        <v>41576</v>
      </c>
      <c r="H51" s="43">
        <v>80000</v>
      </c>
      <c r="I51" s="11">
        <v>52562</v>
      </c>
      <c r="J51" s="11">
        <v>500000</v>
      </c>
      <c r="K51" s="8">
        <v>19</v>
      </c>
      <c r="L51" s="50">
        <v>45382</v>
      </c>
      <c r="M51" s="51">
        <f t="shared" si="31"/>
        <v>125.128767123288</v>
      </c>
      <c r="N51" s="52">
        <f t="shared" si="32"/>
        <v>54.8712328767123</v>
      </c>
      <c r="O51" s="11">
        <f t="shared" si="0"/>
        <v>447438</v>
      </c>
      <c r="P51" s="53">
        <v>43762</v>
      </c>
      <c r="Q51" s="53">
        <v>45222</v>
      </c>
      <c r="R51" s="11"/>
      <c r="S51" s="11">
        <v>720</v>
      </c>
      <c r="T51" s="11">
        <f t="shared" si="1"/>
        <v>87237.6068376068</v>
      </c>
      <c r="U51" s="61">
        <f t="shared" si="21"/>
        <v>0.894876</v>
      </c>
      <c r="V51" s="11">
        <f t="shared" si="22"/>
        <v>78066.8406564102</v>
      </c>
      <c r="W51" s="11">
        <f t="shared" si="4"/>
        <v>87237.6068376068</v>
      </c>
      <c r="X51" s="61">
        <f t="shared" si="5"/>
        <v>0.248262615541133</v>
      </c>
      <c r="Y51" s="11">
        <f t="shared" si="6"/>
        <v>21657.8364470533</v>
      </c>
      <c r="Z51" s="11">
        <f t="shared" si="15"/>
        <v>87237.6068376068</v>
      </c>
      <c r="AA51" s="61">
        <f t="shared" si="28"/>
        <v>0.304840182648402</v>
      </c>
      <c r="AB51" s="11">
        <f t="shared" si="29"/>
        <v>26593.5280021855</v>
      </c>
      <c r="AC51" s="8"/>
      <c r="AD51" s="69"/>
      <c r="AE51" s="69"/>
      <c r="AF51" s="11">
        <v>80000</v>
      </c>
      <c r="AG51" s="11">
        <f t="shared" si="7"/>
        <v>68376.0683760684</v>
      </c>
      <c r="AH51" s="11">
        <f t="shared" si="11"/>
        <v>6837.60683760684</v>
      </c>
      <c r="AI51" s="11">
        <v>400</v>
      </c>
      <c r="AJ51" s="11">
        <f t="shared" si="12"/>
        <v>87237.6068376068</v>
      </c>
      <c r="AK51" s="11">
        <f>AJ51*AE5</f>
        <v>11631.6809116809</v>
      </c>
      <c r="AL51" s="11">
        <f>(AJ51-AK51)*AE5</f>
        <v>10080.7901234568</v>
      </c>
      <c r="AM51" s="11">
        <f>(AJ51-AK51-AL51)*AE5</f>
        <v>8736.68477366254</v>
      </c>
      <c r="AN51" s="11">
        <f>(AJ51-AK51-AL51-AM51)*AE5</f>
        <v>7571.79347050753</v>
      </c>
      <c r="AO51" s="11">
        <f>(AJ51-AK51-AL51-AM51-AN51)*AE5</f>
        <v>6562.2210077732</v>
      </c>
      <c r="AP51" s="11">
        <f>(AJ51-AK51-AL51-AM51-AN51-AO51)*AE5</f>
        <v>5687.25820673677</v>
      </c>
      <c r="AQ51" s="11">
        <f>(AJ51-AK51-AL51-AM51-AN51-AO51-AP51)*AE5</f>
        <v>4928.95711250521</v>
      </c>
      <c r="AR51" s="11">
        <f>(AJ51-AK51-AL51-AM51-AN51-AO51-AP51-AQ51)*AE5</f>
        <v>4271.76283083785</v>
      </c>
      <c r="AS51" s="11">
        <f>(AJ51-AK51-AL51-AM51-AN51-AO51-AP51-AQ51-AR51)*AE5</f>
        <v>3702.1944533928</v>
      </c>
      <c r="AT51" s="11">
        <f>9/12*3208.57</f>
        <v>2406.4275</v>
      </c>
      <c r="AU51" s="11"/>
      <c r="AV51" s="11"/>
      <c r="AW51" s="11"/>
      <c r="AX51" s="11">
        <f t="shared" si="8"/>
        <v>65579.7703905536</v>
      </c>
      <c r="AY51" s="11"/>
      <c r="AZ51" s="11"/>
      <c r="BA51" s="11">
        <f t="shared" si="9"/>
        <v>21657.8364470533</v>
      </c>
    </row>
    <row r="52" s="33" customFormat="1" ht="15" customHeight="1" spans="1:53">
      <c r="A52" s="8">
        <v>47</v>
      </c>
      <c r="B52" s="8" t="s">
        <v>92</v>
      </c>
      <c r="C52" s="8" t="s">
        <v>93</v>
      </c>
      <c r="D52" s="10" t="s">
        <v>94</v>
      </c>
      <c r="E52" s="8" t="s">
        <v>154</v>
      </c>
      <c r="F52" s="8" t="s">
        <v>153</v>
      </c>
      <c r="G52" s="42">
        <v>41835</v>
      </c>
      <c r="H52" s="43">
        <v>90000</v>
      </c>
      <c r="I52" s="11">
        <v>363938</v>
      </c>
      <c r="J52" s="11">
        <v>500000</v>
      </c>
      <c r="K52" s="8">
        <v>19</v>
      </c>
      <c r="L52" s="50">
        <v>45382</v>
      </c>
      <c r="M52" s="51">
        <f t="shared" si="31"/>
        <v>116.613698630137</v>
      </c>
      <c r="N52" s="52">
        <f t="shared" si="32"/>
        <v>63.386301369863</v>
      </c>
      <c r="O52" s="11">
        <f t="shared" si="0"/>
        <v>136062</v>
      </c>
      <c r="P52" s="53">
        <v>44043</v>
      </c>
      <c r="Q52" s="53">
        <v>45503</v>
      </c>
      <c r="R52" s="11">
        <f t="shared" si="27"/>
        <v>3.97808219178082</v>
      </c>
      <c r="S52" s="11">
        <v>720</v>
      </c>
      <c r="T52" s="11">
        <f t="shared" si="1"/>
        <v>98092.3076923077</v>
      </c>
      <c r="U52" s="61">
        <f t="shared" si="21"/>
        <v>0.272124</v>
      </c>
      <c r="V52" s="11">
        <f t="shared" si="22"/>
        <v>26693.2711384615</v>
      </c>
      <c r="W52" s="11">
        <f t="shared" si="4"/>
        <v>98092.3076923077</v>
      </c>
      <c r="X52" s="61">
        <f t="shared" si="5"/>
        <v>0.275847364678962</v>
      </c>
      <c r="Y52" s="11">
        <f t="shared" si="6"/>
        <v>27058.504572201</v>
      </c>
      <c r="Z52" s="11">
        <f t="shared" si="15"/>
        <v>98092.3076923077</v>
      </c>
      <c r="AA52" s="61">
        <f t="shared" si="28"/>
        <v>0.352146118721461</v>
      </c>
      <c r="AB52" s="11">
        <f t="shared" si="29"/>
        <v>34542.8254302775</v>
      </c>
      <c r="AC52" s="8"/>
      <c r="AD52" s="69"/>
      <c r="AE52" s="69"/>
      <c r="AF52" s="11">
        <v>90000</v>
      </c>
      <c r="AG52" s="11">
        <f t="shared" si="7"/>
        <v>76923.0769230769</v>
      </c>
      <c r="AH52" s="11">
        <f t="shared" si="11"/>
        <v>7692.30769230769</v>
      </c>
      <c r="AI52" s="11">
        <v>400</v>
      </c>
      <c r="AJ52" s="11">
        <f t="shared" si="12"/>
        <v>98092.3076923077</v>
      </c>
      <c r="AK52" s="11">
        <f>AJ52*AE5</f>
        <v>13078.9743589743</v>
      </c>
      <c r="AL52" s="11">
        <f>(AJ52-AK52)*AE5</f>
        <v>11335.1111111111</v>
      </c>
      <c r="AM52" s="11">
        <f>(AJ52-AK52-AL52)*AE5</f>
        <v>9823.76296296295</v>
      </c>
      <c r="AN52" s="11">
        <f>(AJ52-AK52-AL52-AM52)*AE5</f>
        <v>8513.92790123456</v>
      </c>
      <c r="AO52" s="11">
        <f>(AJ52-AK52-AL52-AM52-AN52)*AE5</f>
        <v>7378.73751440328</v>
      </c>
      <c r="AP52" s="11">
        <f>(AJ52-AK52-AL52-AM52-AN52-AO52)*AE5</f>
        <v>6394.90584581618</v>
      </c>
      <c r="AQ52" s="11">
        <f>(AJ52-AK52-AL52-AM52-AN52-AO52-AP52)*AE5</f>
        <v>5542.25173304069</v>
      </c>
      <c r="AR52" s="11">
        <f>(AJ52-AK52-AL52-AM52-AN52-AO52-AP52-AQ52)*AE5</f>
        <v>4803.28483530194</v>
      </c>
      <c r="AS52" s="11">
        <f>(AJ52-AK52-AL52-AM52-AN52-AO52-AP52-AQ52-AR52)*AE5</f>
        <v>4162.84685726168</v>
      </c>
      <c r="AT52" s="11"/>
      <c r="AU52" s="11"/>
      <c r="AV52" s="11"/>
      <c r="AW52" s="11"/>
      <c r="AX52" s="11">
        <f t="shared" si="8"/>
        <v>71033.8031201067</v>
      </c>
      <c r="AY52" s="11"/>
      <c r="AZ52" s="11"/>
      <c r="BA52" s="11">
        <f t="shared" si="9"/>
        <v>27058.504572201</v>
      </c>
    </row>
    <row r="53" s="33" customFormat="1" ht="15" customHeight="1" spans="1:53">
      <c r="A53" s="8">
        <v>48</v>
      </c>
      <c r="B53" s="8" t="s">
        <v>95</v>
      </c>
      <c r="C53" s="8" t="s">
        <v>96</v>
      </c>
      <c r="D53" s="10" t="s">
        <v>97</v>
      </c>
      <c r="E53" s="8" t="s">
        <v>154</v>
      </c>
      <c r="F53" s="8" t="s">
        <v>153</v>
      </c>
      <c r="G53" s="42">
        <v>41791</v>
      </c>
      <c r="H53" s="43">
        <v>90000</v>
      </c>
      <c r="I53" s="11">
        <v>70556.0547945205</v>
      </c>
      <c r="J53" s="11">
        <v>500000</v>
      </c>
      <c r="K53" s="8">
        <v>19</v>
      </c>
      <c r="L53" s="50">
        <v>45382</v>
      </c>
      <c r="M53" s="51">
        <f t="shared" ref="M53:M64" si="33">(L53-G53)/365*12</f>
        <v>118.060273972603</v>
      </c>
      <c r="N53" s="52">
        <f t="shared" ref="N53:N64" si="34">180-(L53-G53)/365*12</f>
        <v>61.9397260273973</v>
      </c>
      <c r="O53" s="11">
        <f t="shared" si="0"/>
        <v>429443.94520548</v>
      </c>
      <c r="P53" s="53"/>
      <c r="Q53" s="53"/>
      <c r="R53" s="11"/>
      <c r="S53" s="11">
        <v>720</v>
      </c>
      <c r="T53" s="11">
        <f t="shared" si="1"/>
        <v>98092.3076923077</v>
      </c>
      <c r="U53" s="61">
        <f t="shared" si="21"/>
        <v>0.858887890410959</v>
      </c>
      <c r="V53" s="11">
        <f t="shared" si="22"/>
        <v>84250.2952193888</v>
      </c>
      <c r="W53" s="11">
        <f t="shared" si="4"/>
        <v>98092.3076923077</v>
      </c>
      <c r="X53" s="61">
        <f t="shared" si="5"/>
        <v>0.269717424277457</v>
      </c>
      <c r="Y53" s="11">
        <f t="shared" si="6"/>
        <v>26457.204572201</v>
      </c>
      <c r="Z53" s="11">
        <f t="shared" si="15"/>
        <v>98092.3076923077</v>
      </c>
      <c r="AA53" s="61">
        <f t="shared" si="28"/>
        <v>0.344109589041096</v>
      </c>
      <c r="AB53" s="11">
        <f t="shared" si="29"/>
        <v>33754.5036880927</v>
      </c>
      <c r="AC53" s="8"/>
      <c r="AD53" s="69"/>
      <c r="AE53" s="69"/>
      <c r="AF53" s="11">
        <v>90000</v>
      </c>
      <c r="AG53" s="11">
        <f t="shared" si="7"/>
        <v>76923.0769230769</v>
      </c>
      <c r="AH53" s="11">
        <f t="shared" si="11"/>
        <v>7692.30769230769</v>
      </c>
      <c r="AI53" s="11">
        <v>400</v>
      </c>
      <c r="AJ53" s="11">
        <f t="shared" si="12"/>
        <v>98092.3076923077</v>
      </c>
      <c r="AK53" s="11">
        <f>AJ53*AE5</f>
        <v>13078.9743589743</v>
      </c>
      <c r="AL53" s="11">
        <f>(AJ53-AK53)*AE5</f>
        <v>11335.1111111111</v>
      </c>
      <c r="AM53" s="11">
        <f>(AJ53-AK53-AL53)*AE5</f>
        <v>9823.76296296295</v>
      </c>
      <c r="AN53" s="11">
        <f>(AJ53-AK53-AL53-AM53)*AE5</f>
        <v>8513.92790123456</v>
      </c>
      <c r="AO53" s="11">
        <f>(AJ53-AK53-AL53-AM53-AN53)*AE5</f>
        <v>7378.73751440328</v>
      </c>
      <c r="AP53" s="11">
        <f>(AJ53-AK53-AL53-AM53-AN53-AO53)*AE5</f>
        <v>6394.90584581618</v>
      </c>
      <c r="AQ53" s="11">
        <f>(AJ53-AK53-AL53-AM53-AN53-AO53-AP53)*AE5</f>
        <v>5542.25173304069</v>
      </c>
      <c r="AR53" s="11">
        <f>(AJ53-AK53-AL53-AM53-AN53-AO53-AP53-AQ53)*AE5</f>
        <v>4803.28483530194</v>
      </c>
      <c r="AS53" s="11">
        <f>(AJ53-AK53-AL53-AM53-AN53-AO53-AP53-AQ53-AR53)*AE5</f>
        <v>4162.84685726168</v>
      </c>
      <c r="AT53" s="11">
        <f>2/12*3607.8</f>
        <v>601.3</v>
      </c>
      <c r="AU53" s="11"/>
      <c r="AV53" s="11"/>
      <c r="AW53" s="11"/>
      <c r="AX53" s="11">
        <f t="shared" si="8"/>
        <v>71635.1031201067</v>
      </c>
      <c r="AY53" s="11"/>
      <c r="AZ53" s="11"/>
      <c r="BA53" s="11">
        <f t="shared" si="9"/>
        <v>26457.204572201</v>
      </c>
    </row>
    <row r="54" s="33" customFormat="1" ht="15" customHeight="1" spans="1:53">
      <c r="A54" s="8">
        <v>49</v>
      </c>
      <c r="B54" s="8" t="s">
        <v>98</v>
      </c>
      <c r="C54" s="8" t="s">
        <v>99</v>
      </c>
      <c r="D54" s="10" t="s">
        <v>100</v>
      </c>
      <c r="E54" s="9" t="s">
        <v>159</v>
      </c>
      <c r="F54" s="8" t="s">
        <v>153</v>
      </c>
      <c r="G54" s="42">
        <v>41974</v>
      </c>
      <c r="H54" s="43">
        <v>75000</v>
      </c>
      <c r="I54" s="11">
        <v>81741.5890410959</v>
      </c>
      <c r="J54" s="11">
        <v>500000</v>
      </c>
      <c r="K54" s="8">
        <v>19</v>
      </c>
      <c r="L54" s="50">
        <v>45382</v>
      </c>
      <c r="M54" s="51">
        <f t="shared" si="33"/>
        <v>112.043835616438</v>
      </c>
      <c r="N54" s="52">
        <f t="shared" si="34"/>
        <v>67.9561643835616</v>
      </c>
      <c r="O54" s="11">
        <f t="shared" si="0"/>
        <v>418258.410958904</v>
      </c>
      <c r="P54" s="53"/>
      <c r="Q54" s="53"/>
      <c r="R54" s="11"/>
      <c r="S54" s="11">
        <v>720</v>
      </c>
      <c r="T54" s="11">
        <f t="shared" si="1"/>
        <v>81810.2564102564</v>
      </c>
      <c r="U54" s="61">
        <f t="shared" si="21"/>
        <v>0.836516821917808</v>
      </c>
      <c r="V54" s="11">
        <f t="shared" si="22"/>
        <v>68435.6556925887</v>
      </c>
      <c r="W54" s="11">
        <f t="shared" si="4"/>
        <v>81810.2564102564</v>
      </c>
      <c r="X54" s="61">
        <f t="shared" si="5"/>
        <v>0.289993369131691</v>
      </c>
      <c r="Y54" s="11">
        <f t="shared" si="6"/>
        <v>23724.4318859378</v>
      </c>
      <c r="Z54" s="11">
        <f t="shared" si="15"/>
        <v>81810.2564102564</v>
      </c>
      <c r="AA54" s="61">
        <f t="shared" si="28"/>
        <v>0.377534246575342</v>
      </c>
      <c r="AB54" s="11">
        <f t="shared" si="29"/>
        <v>30886.1735159817</v>
      </c>
      <c r="AC54" s="70"/>
      <c r="AD54" s="69"/>
      <c r="AE54" s="69"/>
      <c r="AF54" s="11">
        <v>75000</v>
      </c>
      <c r="AG54" s="11">
        <f t="shared" si="7"/>
        <v>64102.5641025641</v>
      </c>
      <c r="AH54" s="11">
        <f t="shared" si="11"/>
        <v>6410.25641025641</v>
      </c>
      <c r="AI54" s="11">
        <v>400</v>
      </c>
      <c r="AJ54" s="11">
        <f t="shared" si="12"/>
        <v>81810.2564102564</v>
      </c>
      <c r="AK54" s="11">
        <f>AJ54*AE5</f>
        <v>10908.0341880342</v>
      </c>
      <c r="AL54" s="11">
        <f>(AJ54-AK54)*AE5</f>
        <v>9453.62962962961</v>
      </c>
      <c r="AM54" s="11">
        <f>(AJ54-AK54-AL54)*AE5</f>
        <v>8193.14567901233</v>
      </c>
      <c r="AN54" s="11">
        <f>(AJ54-AK54-AL54-AM54)*AE5</f>
        <v>7100.72625514402</v>
      </c>
      <c r="AO54" s="11">
        <f>(AJ54-AK54-AL54-AM54-AN54)*AE5</f>
        <v>6153.96275445816</v>
      </c>
      <c r="AP54" s="11">
        <f>(AJ54-AK54-AL54-AM54-AN54-AO54)*AE5</f>
        <v>5333.43438719707</v>
      </c>
      <c r="AQ54" s="11">
        <f>(AJ54-AK54-AL54-AM54-AN54-AO54-AP54)*AE5</f>
        <v>4622.30980223746</v>
      </c>
      <c r="AR54" s="11">
        <f>(AJ54-AK54-AL54-AM54-AN54-AO54-AP54-AQ54)*AE5</f>
        <v>4006.0018286058</v>
      </c>
      <c r="AS54" s="11">
        <f>8/12*3471.87</f>
        <v>2314.58</v>
      </c>
      <c r="AT54" s="11"/>
      <c r="AU54" s="11"/>
      <c r="AV54" s="11"/>
      <c r="AW54" s="11"/>
      <c r="AX54" s="11">
        <f t="shared" si="8"/>
        <v>58085.8245243186</v>
      </c>
      <c r="AY54" s="11"/>
      <c r="AZ54" s="11"/>
      <c r="BA54" s="11">
        <f t="shared" si="9"/>
        <v>23724.4318859378</v>
      </c>
    </row>
    <row r="55" s="33" customFormat="1" ht="15" customHeight="1" spans="1:53">
      <c r="A55" s="8">
        <v>50</v>
      </c>
      <c r="B55" s="8" t="s">
        <v>101</v>
      </c>
      <c r="C55" s="8" t="s">
        <v>102</v>
      </c>
      <c r="D55" s="10" t="s">
        <v>103</v>
      </c>
      <c r="E55" s="8" t="s">
        <v>154</v>
      </c>
      <c r="F55" s="8" t="s">
        <v>153</v>
      </c>
      <c r="G55" s="42">
        <v>41809</v>
      </c>
      <c r="H55" s="43">
        <v>90000</v>
      </c>
      <c r="I55" s="11">
        <v>295011.945205479</v>
      </c>
      <c r="J55" s="11">
        <v>500000</v>
      </c>
      <c r="K55" s="8">
        <v>19</v>
      </c>
      <c r="L55" s="50">
        <v>45382</v>
      </c>
      <c r="M55" s="51">
        <f t="shared" si="33"/>
        <v>117.468493150685</v>
      </c>
      <c r="N55" s="52">
        <f t="shared" si="34"/>
        <v>62.5315068493151</v>
      </c>
      <c r="O55" s="11">
        <f t="shared" si="0"/>
        <v>204988.054794521</v>
      </c>
      <c r="P55" s="53">
        <v>44043</v>
      </c>
      <c r="Q55" s="53">
        <v>45503</v>
      </c>
      <c r="R55" s="11">
        <f t="shared" si="27"/>
        <v>3.97808219178082</v>
      </c>
      <c r="S55" s="11">
        <v>720</v>
      </c>
      <c r="T55" s="11">
        <f t="shared" si="1"/>
        <v>98092.3076923077</v>
      </c>
      <c r="U55" s="61">
        <f t="shared" si="21"/>
        <v>0.409976109589042</v>
      </c>
      <c r="V55" s="11">
        <f t="shared" si="22"/>
        <v>40215.5026883036</v>
      </c>
      <c r="W55" s="11">
        <f t="shared" si="4"/>
        <v>98092.3076923077</v>
      </c>
      <c r="X55" s="61">
        <f t="shared" si="5"/>
        <v>0.27278239447821</v>
      </c>
      <c r="Y55" s="11">
        <f t="shared" si="6"/>
        <v>26757.854572201</v>
      </c>
      <c r="Z55" s="11">
        <f t="shared" si="15"/>
        <v>98092.3076923077</v>
      </c>
      <c r="AA55" s="61">
        <f t="shared" si="28"/>
        <v>0.347397260273973</v>
      </c>
      <c r="AB55" s="11">
        <f t="shared" si="29"/>
        <v>34076.9989462592</v>
      </c>
      <c r="AC55" s="70"/>
      <c r="AD55" s="69"/>
      <c r="AE55" s="69"/>
      <c r="AF55" s="11">
        <v>90000</v>
      </c>
      <c r="AG55" s="11">
        <f t="shared" si="7"/>
        <v>76923.0769230769</v>
      </c>
      <c r="AH55" s="11">
        <f t="shared" si="11"/>
        <v>7692.30769230769</v>
      </c>
      <c r="AI55" s="11">
        <v>400</v>
      </c>
      <c r="AJ55" s="11">
        <f t="shared" si="12"/>
        <v>98092.3076923077</v>
      </c>
      <c r="AK55" s="11">
        <f>AJ55*AE5</f>
        <v>13078.9743589743</v>
      </c>
      <c r="AL55" s="11">
        <f>(AJ55-AK55)*AE5</f>
        <v>11335.1111111111</v>
      </c>
      <c r="AM55" s="11">
        <f>(AJ55-AK55-AL55)*AE5</f>
        <v>9823.76296296295</v>
      </c>
      <c r="AN55" s="11">
        <f>(AJ55-AK55-AL55-AM55)*AE5</f>
        <v>8513.92790123456</v>
      </c>
      <c r="AO55" s="11">
        <f>(AJ55-AK55-AL55-AM55-AN55)*AE5</f>
        <v>7378.73751440328</v>
      </c>
      <c r="AP55" s="11">
        <f>(AJ55-AK55-AL55-AM55-AN55-AO55)*AE5</f>
        <v>6394.90584581618</v>
      </c>
      <c r="AQ55" s="11">
        <f>(AJ55-AK55-AL55-AM55-AN55-AO55-AP55)*AE5</f>
        <v>5542.25173304069</v>
      </c>
      <c r="AR55" s="11">
        <f>(AJ55-AK55-AL55-AM55-AN55-AO55-AP55-AQ55)*AE5</f>
        <v>4803.28483530194</v>
      </c>
      <c r="AS55" s="11">
        <f>(AJ55-AK55-AL55-AM55-AN55-AO55-AP55-AQ55-AR55)*AE5</f>
        <v>4162.84685726168</v>
      </c>
      <c r="AT55" s="11">
        <f>1/12*3607.8</f>
        <v>300.65</v>
      </c>
      <c r="AU55" s="11"/>
      <c r="AV55" s="11"/>
      <c r="AW55" s="11"/>
      <c r="AX55" s="11">
        <f t="shared" si="8"/>
        <v>71334.4531201067</v>
      </c>
      <c r="AY55" s="11"/>
      <c r="AZ55" s="11"/>
      <c r="BA55" s="11">
        <f t="shared" si="9"/>
        <v>26757.854572201</v>
      </c>
    </row>
    <row r="56" s="33" customFormat="1" ht="15" customHeight="1" spans="1:53">
      <c r="A56" s="8">
        <v>51</v>
      </c>
      <c r="B56" s="8" t="s">
        <v>104</v>
      </c>
      <c r="C56" s="8" t="s">
        <v>105</v>
      </c>
      <c r="D56" s="10" t="s">
        <v>103</v>
      </c>
      <c r="E56" s="8" t="s">
        <v>154</v>
      </c>
      <c r="F56" s="8" t="s">
        <v>153</v>
      </c>
      <c r="G56" s="42">
        <v>41822</v>
      </c>
      <c r="H56" s="43">
        <v>90000</v>
      </c>
      <c r="I56" s="11">
        <v>228569.424657534</v>
      </c>
      <c r="J56" s="11">
        <v>500000</v>
      </c>
      <c r="K56" s="8">
        <v>19</v>
      </c>
      <c r="L56" s="50">
        <v>45382</v>
      </c>
      <c r="M56" s="51">
        <f t="shared" si="33"/>
        <v>117.041095890411</v>
      </c>
      <c r="N56" s="52">
        <f t="shared" si="34"/>
        <v>62.958904109589</v>
      </c>
      <c r="O56" s="11">
        <f t="shared" si="0"/>
        <v>271430.575342466</v>
      </c>
      <c r="P56" s="53"/>
      <c r="Q56" s="53"/>
      <c r="R56" s="11"/>
      <c r="S56" s="11">
        <v>720</v>
      </c>
      <c r="T56" s="11">
        <f t="shared" si="1"/>
        <v>98092.3076923077</v>
      </c>
      <c r="U56" s="61">
        <f t="shared" si="21"/>
        <v>0.542861150684932</v>
      </c>
      <c r="V56" s="11">
        <f t="shared" si="22"/>
        <v>53250.5030271866</v>
      </c>
      <c r="W56" s="11">
        <f t="shared" si="4"/>
        <v>98092.3076923077</v>
      </c>
      <c r="X56" s="61">
        <f t="shared" si="5"/>
        <v>0.275847364678962</v>
      </c>
      <c r="Y56" s="11">
        <f t="shared" si="6"/>
        <v>27058.504572201</v>
      </c>
      <c r="Z56" s="11">
        <f t="shared" si="15"/>
        <v>98092.3076923077</v>
      </c>
      <c r="AA56" s="61">
        <f t="shared" si="28"/>
        <v>0.349771689497717</v>
      </c>
      <c r="AB56" s="11">
        <f t="shared" si="29"/>
        <v>34309.9121882684</v>
      </c>
      <c r="AC56" s="70"/>
      <c r="AD56" s="69"/>
      <c r="AE56" s="69"/>
      <c r="AF56" s="11">
        <v>90000</v>
      </c>
      <c r="AG56" s="11">
        <f t="shared" si="7"/>
        <v>76923.0769230769</v>
      </c>
      <c r="AH56" s="11">
        <f t="shared" si="11"/>
        <v>7692.30769230769</v>
      </c>
      <c r="AI56" s="11">
        <v>400</v>
      </c>
      <c r="AJ56" s="11">
        <f t="shared" si="12"/>
        <v>98092.3076923077</v>
      </c>
      <c r="AK56" s="11">
        <f>AJ56*AE5</f>
        <v>13078.9743589743</v>
      </c>
      <c r="AL56" s="11">
        <f>(AJ56-AK56)*AE5</f>
        <v>11335.1111111111</v>
      </c>
      <c r="AM56" s="11">
        <f>(AJ56-AK56-AL56)*AE5</f>
        <v>9823.76296296295</v>
      </c>
      <c r="AN56" s="11">
        <f>(AJ56-AK56-AL56-AM56)*AE5</f>
        <v>8513.92790123456</v>
      </c>
      <c r="AO56" s="11">
        <f>(AJ56-AK56-AL56-AM56-AN56)*AE5</f>
        <v>7378.73751440328</v>
      </c>
      <c r="AP56" s="11">
        <f>(AJ56-AK56-AL56-AM56-AN56-AO56)*AE5</f>
        <v>6394.90584581618</v>
      </c>
      <c r="AQ56" s="11">
        <f>(AJ56-AK56-AL56-AM56-AN56-AO56-AP56)*AE5</f>
        <v>5542.25173304069</v>
      </c>
      <c r="AR56" s="11">
        <f>(AJ56-AK56-AL56-AM56-AN56-AO56-AP56-AQ56)*AE5</f>
        <v>4803.28483530194</v>
      </c>
      <c r="AS56" s="11">
        <f>(AJ56-AK56-AL56-AM56-AN56-AO56-AP56-AQ56-AR56)*AE5</f>
        <v>4162.84685726168</v>
      </c>
      <c r="AT56" s="11"/>
      <c r="AU56" s="11"/>
      <c r="AV56" s="11"/>
      <c r="AW56" s="11"/>
      <c r="AX56" s="11">
        <f t="shared" si="8"/>
        <v>71033.8031201067</v>
      </c>
      <c r="AY56" s="11"/>
      <c r="AZ56" s="11"/>
      <c r="BA56" s="11">
        <f t="shared" si="9"/>
        <v>27058.504572201</v>
      </c>
    </row>
    <row r="57" s="33" customFormat="1" ht="15" customHeight="1" spans="1:53">
      <c r="A57" s="8">
        <v>52</v>
      </c>
      <c r="B57" s="8" t="s">
        <v>101</v>
      </c>
      <c r="C57" s="8" t="s">
        <v>106</v>
      </c>
      <c r="D57" s="10" t="s">
        <v>107</v>
      </c>
      <c r="E57" s="8" t="s">
        <v>154</v>
      </c>
      <c r="F57" s="8" t="s">
        <v>153</v>
      </c>
      <c r="G57" s="42">
        <v>41809</v>
      </c>
      <c r="H57" s="43">
        <v>90000</v>
      </c>
      <c r="I57" s="11">
        <v>92191.2328767123</v>
      </c>
      <c r="J57" s="11">
        <v>500000</v>
      </c>
      <c r="K57" s="8">
        <v>19</v>
      </c>
      <c r="L57" s="50">
        <v>45382</v>
      </c>
      <c r="M57" s="51">
        <f t="shared" si="33"/>
        <v>117.468493150685</v>
      </c>
      <c r="N57" s="52">
        <f t="shared" si="34"/>
        <v>62.5315068493151</v>
      </c>
      <c r="O57" s="11">
        <f t="shared" si="0"/>
        <v>407808.767123288</v>
      </c>
      <c r="P57" s="53">
        <v>44043</v>
      </c>
      <c r="Q57" s="53">
        <v>45503</v>
      </c>
      <c r="R57" s="11">
        <f t="shared" si="27"/>
        <v>3.97808219178082</v>
      </c>
      <c r="S57" s="11">
        <v>720</v>
      </c>
      <c r="T57" s="11">
        <f t="shared" si="1"/>
        <v>98092.3076923077</v>
      </c>
      <c r="U57" s="61">
        <f t="shared" si="21"/>
        <v>0.815617534246575</v>
      </c>
      <c r="V57" s="11">
        <f t="shared" si="22"/>
        <v>80005.8061285564</v>
      </c>
      <c r="W57" s="11">
        <f t="shared" si="4"/>
        <v>98092.3076923077</v>
      </c>
      <c r="X57" s="61">
        <f t="shared" si="5"/>
        <v>0.27278239447821</v>
      </c>
      <c r="Y57" s="11">
        <f t="shared" si="6"/>
        <v>26757.854572201</v>
      </c>
      <c r="Z57" s="11">
        <f t="shared" si="15"/>
        <v>98092.3076923077</v>
      </c>
      <c r="AA57" s="61">
        <f t="shared" si="28"/>
        <v>0.347397260273973</v>
      </c>
      <c r="AB57" s="11">
        <f t="shared" si="29"/>
        <v>34076.9989462592</v>
      </c>
      <c r="AC57" s="10"/>
      <c r="AD57" s="69"/>
      <c r="AE57" s="69"/>
      <c r="AF57" s="11">
        <v>90000</v>
      </c>
      <c r="AG57" s="11">
        <f t="shared" si="7"/>
        <v>76923.0769230769</v>
      </c>
      <c r="AH57" s="11">
        <f t="shared" si="11"/>
        <v>7692.30769230769</v>
      </c>
      <c r="AI57" s="11">
        <v>400</v>
      </c>
      <c r="AJ57" s="11">
        <f t="shared" si="12"/>
        <v>98092.3076923077</v>
      </c>
      <c r="AK57" s="11">
        <f>AJ57*AE5</f>
        <v>13078.9743589743</v>
      </c>
      <c r="AL57" s="11">
        <f>(AJ57-AK57)*AE5</f>
        <v>11335.1111111111</v>
      </c>
      <c r="AM57" s="11">
        <f>(AJ57-AK57-AL57)*AE5</f>
        <v>9823.76296296295</v>
      </c>
      <c r="AN57" s="11">
        <f>(AJ57-AK57-AL57-AM57)*AE5</f>
        <v>8513.92790123456</v>
      </c>
      <c r="AO57" s="11">
        <f>(AJ57-AK57-AL57-AM57-AN57)*AE5</f>
        <v>7378.73751440328</v>
      </c>
      <c r="AP57" s="11">
        <f>(AJ57-AK57-AL57-AM57-AN57-AO57)*AE5</f>
        <v>6394.90584581618</v>
      </c>
      <c r="AQ57" s="11">
        <f>(AJ57-AK57-AL57-AM57-AN57-AO57-AP57)*AE5</f>
        <v>5542.25173304069</v>
      </c>
      <c r="AR57" s="11">
        <f>(AJ57-AK57-AL57-AM57-AN57-AO57-AP57-AQ57)*AE5</f>
        <v>4803.28483530194</v>
      </c>
      <c r="AS57" s="11">
        <f>(AJ57-AK57-AL57-AM57-AN57-AO57-AP57-AQ57-AR57)*AE5</f>
        <v>4162.84685726168</v>
      </c>
      <c r="AT57" s="11">
        <f>1/12*3607.8</f>
        <v>300.65</v>
      </c>
      <c r="AU57" s="11"/>
      <c r="AV57" s="11"/>
      <c r="AW57" s="11"/>
      <c r="AX57" s="11">
        <f t="shared" si="8"/>
        <v>71334.4531201067</v>
      </c>
      <c r="AY57" s="11"/>
      <c r="AZ57" s="11"/>
      <c r="BA57" s="11">
        <f t="shared" si="9"/>
        <v>26757.854572201</v>
      </c>
    </row>
    <row r="58" s="33" customFormat="1" ht="15" customHeight="1" spans="1:53">
      <c r="A58" s="8">
        <v>53</v>
      </c>
      <c r="B58" s="8" t="s">
        <v>108</v>
      </c>
      <c r="C58" s="8" t="s">
        <v>109</v>
      </c>
      <c r="D58" s="10" t="s">
        <v>110</v>
      </c>
      <c r="E58" s="8" t="s">
        <v>154</v>
      </c>
      <c r="F58" s="8" t="s">
        <v>153</v>
      </c>
      <c r="G58" s="42">
        <v>41625</v>
      </c>
      <c r="H58" s="43">
        <v>90000</v>
      </c>
      <c r="I58" s="11">
        <v>493154.630136986</v>
      </c>
      <c r="J58" s="11">
        <v>500000</v>
      </c>
      <c r="K58" s="8">
        <v>19</v>
      </c>
      <c r="L58" s="50">
        <v>45382</v>
      </c>
      <c r="M58" s="51">
        <f t="shared" si="33"/>
        <v>123.517808219178</v>
      </c>
      <c r="N58" s="52">
        <f t="shared" si="34"/>
        <v>56.4821917808219</v>
      </c>
      <c r="O58" s="11">
        <f t="shared" si="0"/>
        <v>6845.36986301403</v>
      </c>
      <c r="P58" s="53">
        <v>43823</v>
      </c>
      <c r="Q58" s="53">
        <v>45283</v>
      </c>
      <c r="R58" s="11"/>
      <c r="S58" s="11">
        <v>720</v>
      </c>
      <c r="T58" s="11">
        <f t="shared" si="1"/>
        <v>98092.3076923077</v>
      </c>
      <c r="U58" s="61">
        <f t="shared" si="21"/>
        <v>0.0136907397260281</v>
      </c>
      <c r="V58" s="11">
        <f t="shared" si="22"/>
        <v>1342.95625374084</v>
      </c>
      <c r="W58" s="11">
        <f t="shared" si="4"/>
        <v>98092.3076923077</v>
      </c>
      <c r="X58" s="61">
        <f t="shared" si="5"/>
        <v>0.254392573273693</v>
      </c>
      <c r="Y58" s="11">
        <f t="shared" si="6"/>
        <v>24953.954572201</v>
      </c>
      <c r="Z58" s="11">
        <f t="shared" si="15"/>
        <v>98092.3076923077</v>
      </c>
      <c r="AA58" s="61">
        <f t="shared" si="28"/>
        <v>0.3137899543379</v>
      </c>
      <c r="AB58" s="11">
        <f t="shared" si="29"/>
        <v>30780.3807516684</v>
      </c>
      <c r="AC58" s="10"/>
      <c r="AD58" s="71"/>
      <c r="AE58" s="71"/>
      <c r="AF58" s="11">
        <v>90000</v>
      </c>
      <c r="AG58" s="11">
        <f t="shared" si="7"/>
        <v>76923.0769230769</v>
      </c>
      <c r="AH58" s="11">
        <f t="shared" si="11"/>
        <v>7692.30769230769</v>
      </c>
      <c r="AI58" s="11">
        <v>400</v>
      </c>
      <c r="AJ58" s="11">
        <f t="shared" si="12"/>
        <v>98092.3076923077</v>
      </c>
      <c r="AK58" s="11">
        <f>AJ58*AE5</f>
        <v>13078.9743589743</v>
      </c>
      <c r="AL58" s="11">
        <f>(AJ58-AK58)*AE5</f>
        <v>11335.1111111111</v>
      </c>
      <c r="AM58" s="11">
        <f>(AJ58-AK58-AL58)*AE5</f>
        <v>9823.76296296295</v>
      </c>
      <c r="AN58" s="11">
        <f>(AJ58-AK58-AL58-AM58)*AE5</f>
        <v>8513.92790123456</v>
      </c>
      <c r="AO58" s="11">
        <f>(AJ58-AK58-AL58-AM58-AN58)*AE5</f>
        <v>7378.73751440328</v>
      </c>
      <c r="AP58" s="11">
        <f>(AJ58-AK58-AL58-AM58-AN58-AO58)*AE5</f>
        <v>6394.90584581618</v>
      </c>
      <c r="AQ58" s="11">
        <f>(AJ58-AK58-AL58-AM58-AN58-AO58-AP58)*AE5</f>
        <v>5542.25173304069</v>
      </c>
      <c r="AR58" s="11">
        <f>(AJ58-AK58-AL58-AM58-AN58-AO58-AP58-AQ58)*AE5</f>
        <v>4803.28483530194</v>
      </c>
      <c r="AS58" s="11">
        <f>(AJ58-AK58-AL58-AM58-AN58-AO58-AP58-AQ58-AR58)*AE5</f>
        <v>4162.84685726168</v>
      </c>
      <c r="AT58" s="11">
        <f>7/12*3607.8</f>
        <v>2104.55</v>
      </c>
      <c r="AU58" s="11"/>
      <c r="AV58" s="11"/>
      <c r="AW58" s="11"/>
      <c r="AX58" s="11">
        <f t="shared" si="8"/>
        <v>73138.3531201067</v>
      </c>
      <c r="AY58" s="11"/>
      <c r="AZ58" s="11"/>
      <c r="BA58" s="11">
        <f t="shared" si="9"/>
        <v>24953.954572201</v>
      </c>
    </row>
    <row r="59" s="33" customFormat="1" ht="15" customHeight="1" spans="1:53">
      <c r="A59" s="8">
        <v>54</v>
      </c>
      <c r="B59" s="8" t="s">
        <v>111</v>
      </c>
      <c r="C59" s="8" t="s">
        <v>112</v>
      </c>
      <c r="D59" s="10" t="s">
        <v>113</v>
      </c>
      <c r="E59" s="8" t="s">
        <v>154</v>
      </c>
      <c r="F59" s="8" t="s">
        <v>153</v>
      </c>
      <c r="G59" s="42">
        <v>41451</v>
      </c>
      <c r="H59" s="43">
        <v>90000</v>
      </c>
      <c r="I59" s="11">
        <v>144566</v>
      </c>
      <c r="J59" s="11">
        <v>500000</v>
      </c>
      <c r="K59" s="8">
        <v>19</v>
      </c>
      <c r="L59" s="50">
        <v>45382</v>
      </c>
      <c r="M59" s="51">
        <f t="shared" si="33"/>
        <v>129.238356164384</v>
      </c>
      <c r="N59" s="52">
        <f t="shared" si="34"/>
        <v>50.7616438356164</v>
      </c>
      <c r="O59" s="11">
        <f t="shared" si="0"/>
        <v>355434</v>
      </c>
      <c r="P59" s="53">
        <v>43643</v>
      </c>
      <c r="Q59" s="53">
        <v>45834</v>
      </c>
      <c r="R59" s="11">
        <f t="shared" si="27"/>
        <v>14.8602739726027</v>
      </c>
      <c r="S59" s="11">
        <v>720</v>
      </c>
      <c r="T59" s="11">
        <f t="shared" si="1"/>
        <v>98092.3076923077</v>
      </c>
      <c r="U59" s="61">
        <f t="shared" si="21"/>
        <v>0.710868</v>
      </c>
      <c r="V59" s="11">
        <f t="shared" si="22"/>
        <v>69730.6825846154</v>
      </c>
      <c r="W59" s="11">
        <f t="shared" si="4"/>
        <v>98092.3076923077</v>
      </c>
      <c r="X59" s="61">
        <f t="shared" si="5"/>
        <v>0.236411408547782</v>
      </c>
      <c r="Y59" s="11">
        <f t="shared" si="6"/>
        <v>23190.1406292409</v>
      </c>
      <c r="Z59" s="11">
        <f t="shared" si="15"/>
        <v>98092.3076923077</v>
      </c>
      <c r="AA59" s="61">
        <f t="shared" si="28"/>
        <v>0.282009132420091</v>
      </c>
      <c r="AB59" s="11">
        <f t="shared" si="29"/>
        <v>27662.9265893923</v>
      </c>
      <c r="AC59" s="10"/>
      <c r="AD59" s="71"/>
      <c r="AE59" s="71"/>
      <c r="AF59" s="11">
        <v>90000</v>
      </c>
      <c r="AG59" s="11">
        <f t="shared" si="7"/>
        <v>76923.0769230769</v>
      </c>
      <c r="AH59" s="11">
        <f t="shared" si="11"/>
        <v>7692.30769230769</v>
      </c>
      <c r="AI59" s="11">
        <v>400</v>
      </c>
      <c r="AJ59" s="11">
        <f t="shared" si="12"/>
        <v>98092.3076923077</v>
      </c>
      <c r="AK59" s="11">
        <f>AJ59*AE5</f>
        <v>13078.9743589743</v>
      </c>
      <c r="AL59" s="11">
        <f>(AJ59-AK59)*AE5</f>
        <v>11335.1111111111</v>
      </c>
      <c r="AM59" s="11">
        <f>(AJ59-AK59-AL59)*AE5</f>
        <v>9823.76296296295</v>
      </c>
      <c r="AN59" s="11">
        <f>(AJ59-AK59-AL59-AM59)*AE5</f>
        <v>8513.92790123456</v>
      </c>
      <c r="AO59" s="11">
        <f>(AJ59-AK59-AL59-AM59-AN59)*AE5</f>
        <v>7378.73751440328</v>
      </c>
      <c r="AP59" s="11">
        <f>(AJ59-AK59-AL59-AM59-AN59-AO59)*AE5</f>
        <v>6394.90584581618</v>
      </c>
      <c r="AQ59" s="11">
        <f>(AJ59-AK59-AL59-AM59-AN59-AO59-AP59)*AE5</f>
        <v>5542.25173304069</v>
      </c>
      <c r="AR59" s="11">
        <f>(AJ59-AK59-AL59-AM59-AN59-AO59-AP59-AQ59)*AE5</f>
        <v>4803.28483530194</v>
      </c>
      <c r="AS59" s="11">
        <f>(AJ59-AK59-AL59-AM59-AN59-AO59-AP59-AQ59-AR59)*AE5</f>
        <v>4162.84685726168</v>
      </c>
      <c r="AT59" s="11">
        <f>(AJ59-AK59-AL59-AM59-AN59-AO59-AP59-AQ59-AR59-AS59)*AE5</f>
        <v>3607.80060962679</v>
      </c>
      <c r="AU59" s="11">
        <f>1/12*3126.76</f>
        <v>260.563333333333</v>
      </c>
      <c r="AV59" s="11"/>
      <c r="AW59" s="11"/>
      <c r="AX59" s="11">
        <f t="shared" si="8"/>
        <v>74902.1670630668</v>
      </c>
      <c r="AY59" s="11"/>
      <c r="AZ59" s="11"/>
      <c r="BA59" s="11">
        <f t="shared" si="9"/>
        <v>23190.1406292409</v>
      </c>
    </row>
    <row r="60" s="33" customFormat="1" ht="15" customHeight="1" spans="1:53">
      <c r="A60" s="8">
        <v>55</v>
      </c>
      <c r="B60" s="8" t="s">
        <v>111</v>
      </c>
      <c r="C60" s="8" t="s">
        <v>114</v>
      </c>
      <c r="D60" s="10" t="s">
        <v>113</v>
      </c>
      <c r="E60" s="8" t="s">
        <v>154</v>
      </c>
      <c r="F60" s="8" t="s">
        <v>153</v>
      </c>
      <c r="G60" s="42">
        <v>41451</v>
      </c>
      <c r="H60" s="43">
        <v>90000</v>
      </c>
      <c r="I60" s="11">
        <v>167983</v>
      </c>
      <c r="J60" s="11">
        <v>500000</v>
      </c>
      <c r="K60" s="8">
        <v>19</v>
      </c>
      <c r="L60" s="50">
        <v>45382</v>
      </c>
      <c r="M60" s="51">
        <f t="shared" si="33"/>
        <v>129.238356164384</v>
      </c>
      <c r="N60" s="52">
        <f t="shared" si="34"/>
        <v>50.7616438356164</v>
      </c>
      <c r="O60" s="11">
        <f t="shared" si="0"/>
        <v>332017</v>
      </c>
      <c r="P60" s="53">
        <v>43643</v>
      </c>
      <c r="Q60" s="53">
        <v>45834</v>
      </c>
      <c r="R60" s="11">
        <f t="shared" si="27"/>
        <v>14.8602739726027</v>
      </c>
      <c r="S60" s="11">
        <v>720</v>
      </c>
      <c r="T60" s="11">
        <f t="shared" si="1"/>
        <v>98092.3076923077</v>
      </c>
      <c r="U60" s="61">
        <f t="shared" si="21"/>
        <v>0.664034</v>
      </c>
      <c r="V60" s="11">
        <f t="shared" si="22"/>
        <v>65136.6274461539</v>
      </c>
      <c r="W60" s="11">
        <f t="shared" si="4"/>
        <v>98092.3076923077</v>
      </c>
      <c r="X60" s="61">
        <f t="shared" si="5"/>
        <v>0.236411408547782</v>
      </c>
      <c r="Y60" s="11">
        <f t="shared" si="6"/>
        <v>23190.1406292409</v>
      </c>
      <c r="Z60" s="11">
        <f t="shared" si="15"/>
        <v>98092.3076923077</v>
      </c>
      <c r="AA60" s="61">
        <f t="shared" si="28"/>
        <v>0.282009132420091</v>
      </c>
      <c r="AB60" s="11">
        <f t="shared" si="29"/>
        <v>27662.9265893923</v>
      </c>
      <c r="AC60" s="10"/>
      <c r="AD60" s="71"/>
      <c r="AE60" s="71"/>
      <c r="AF60" s="11">
        <v>90000</v>
      </c>
      <c r="AG60" s="11">
        <f t="shared" si="7"/>
        <v>76923.0769230769</v>
      </c>
      <c r="AH60" s="11">
        <f t="shared" si="11"/>
        <v>7692.30769230769</v>
      </c>
      <c r="AI60" s="11">
        <v>400</v>
      </c>
      <c r="AJ60" s="11">
        <f t="shared" si="12"/>
        <v>98092.3076923077</v>
      </c>
      <c r="AK60" s="11">
        <f>AJ60*AE5</f>
        <v>13078.9743589743</v>
      </c>
      <c r="AL60" s="11">
        <f>(AJ60-AK60)*AE5</f>
        <v>11335.1111111111</v>
      </c>
      <c r="AM60" s="11">
        <f>(AJ60-AK60-AL60)*AE5</f>
        <v>9823.76296296295</v>
      </c>
      <c r="AN60" s="11">
        <f>(AJ60-AK60-AL60-AM60)*AE5</f>
        <v>8513.92790123456</v>
      </c>
      <c r="AO60" s="11">
        <f>(AJ60-AK60-AL60-AM60-AN60)*AE5</f>
        <v>7378.73751440328</v>
      </c>
      <c r="AP60" s="11">
        <f>(AJ60-AK60-AL60-AM60-AN60-AO60)*AE5</f>
        <v>6394.90584581618</v>
      </c>
      <c r="AQ60" s="11">
        <f>(AJ60-AK60-AL60-AM60-AN60-AO60-AP60)*AE5</f>
        <v>5542.25173304069</v>
      </c>
      <c r="AR60" s="11">
        <f>(AJ60-AK60-AL60-AM60-AN60-AO60-AP60-AQ60)*AE5</f>
        <v>4803.28483530194</v>
      </c>
      <c r="AS60" s="11">
        <f>(AJ60-AK60-AL60-AM60-AN60-AO60-AP60-AQ60-AR60)*AE5</f>
        <v>4162.84685726168</v>
      </c>
      <c r="AT60" s="11">
        <f>(AJ60-AK60-AL60-AM60-AN60-AO60-AP60-AQ60-AR60-AS60)*AE5</f>
        <v>3607.80060962679</v>
      </c>
      <c r="AU60" s="11">
        <f>1/12*3126.76</f>
        <v>260.563333333333</v>
      </c>
      <c r="AV60" s="11"/>
      <c r="AW60" s="11"/>
      <c r="AX60" s="11">
        <f t="shared" si="8"/>
        <v>74902.1670630668</v>
      </c>
      <c r="AY60" s="11"/>
      <c r="AZ60" s="11"/>
      <c r="BA60" s="11">
        <f t="shared" si="9"/>
        <v>23190.1406292409</v>
      </c>
    </row>
    <row r="61" s="33" customFormat="1" ht="15" customHeight="1" spans="1:53">
      <c r="A61" s="8">
        <v>56</v>
      </c>
      <c r="B61" s="8" t="s">
        <v>111</v>
      </c>
      <c r="C61" s="8" t="s">
        <v>115</v>
      </c>
      <c r="D61" s="10" t="s">
        <v>116</v>
      </c>
      <c r="E61" s="8" t="s">
        <v>154</v>
      </c>
      <c r="F61" s="8" t="s">
        <v>153</v>
      </c>
      <c r="G61" s="42">
        <v>41997</v>
      </c>
      <c r="H61" s="43">
        <v>90000</v>
      </c>
      <c r="I61" s="11">
        <v>139100.054794521</v>
      </c>
      <c r="J61" s="11">
        <v>500000</v>
      </c>
      <c r="K61" s="8">
        <v>19</v>
      </c>
      <c r="L61" s="50">
        <v>45382</v>
      </c>
      <c r="M61" s="51">
        <f t="shared" si="33"/>
        <v>111.287671232877</v>
      </c>
      <c r="N61" s="52">
        <f t="shared" si="34"/>
        <v>68.7123287671233</v>
      </c>
      <c r="O61" s="11">
        <f t="shared" si="0"/>
        <v>360899.945205479</v>
      </c>
      <c r="P61" s="53">
        <v>44189</v>
      </c>
      <c r="Q61" s="53">
        <v>45649</v>
      </c>
      <c r="R61" s="11">
        <f t="shared" si="27"/>
        <v>8.77808219178082</v>
      </c>
      <c r="S61" s="11">
        <v>720</v>
      </c>
      <c r="T61" s="11">
        <f t="shared" si="1"/>
        <v>98092.3076923077</v>
      </c>
      <c r="U61" s="61">
        <f t="shared" si="21"/>
        <v>0.721799890410958</v>
      </c>
      <c r="V61" s="11">
        <f t="shared" si="22"/>
        <v>70803.0169424657</v>
      </c>
      <c r="W61" s="11">
        <f t="shared" si="4"/>
        <v>98092.3076923077</v>
      </c>
      <c r="X61" s="61">
        <f t="shared" si="5"/>
        <v>0.293529869366647</v>
      </c>
      <c r="Y61" s="11">
        <f t="shared" si="6"/>
        <v>28793.022262796</v>
      </c>
      <c r="Z61" s="11">
        <f t="shared" si="15"/>
        <v>98092.3076923077</v>
      </c>
      <c r="AA61" s="61">
        <f t="shared" si="28"/>
        <v>0.381735159817352</v>
      </c>
      <c r="AB61" s="11">
        <f t="shared" si="29"/>
        <v>37445.2827537759</v>
      </c>
      <c r="AC61" s="10"/>
      <c r="AD61" s="71"/>
      <c r="AE61" s="71"/>
      <c r="AF61" s="11">
        <v>90000</v>
      </c>
      <c r="AG61" s="11">
        <f t="shared" si="7"/>
        <v>76923.0769230769</v>
      </c>
      <c r="AH61" s="11">
        <f t="shared" si="11"/>
        <v>7692.30769230769</v>
      </c>
      <c r="AI61" s="11">
        <v>400</v>
      </c>
      <c r="AJ61" s="11">
        <f t="shared" si="12"/>
        <v>98092.3076923077</v>
      </c>
      <c r="AK61" s="11">
        <f>AJ61*AE5</f>
        <v>13078.9743589743</v>
      </c>
      <c r="AL61" s="11">
        <f>(AJ61-AK61)*AE5</f>
        <v>11335.1111111111</v>
      </c>
      <c r="AM61" s="11">
        <f>(AJ61-AK61-AL61)*AE5</f>
        <v>9823.76296296295</v>
      </c>
      <c r="AN61" s="11">
        <f>(AJ61-AK61-AL61-AM61)*AE5</f>
        <v>8513.92790123456</v>
      </c>
      <c r="AO61" s="11">
        <f>(AJ61-AK61-AL61-AM61-AN61)*AE5</f>
        <v>7378.73751440328</v>
      </c>
      <c r="AP61" s="11">
        <f>(AJ61-AK61-AL61-AM61-AN61-AO61)*AE5</f>
        <v>6394.90584581618</v>
      </c>
      <c r="AQ61" s="11">
        <f>(AJ61-AK61-AL61-AM61-AN61-AO61-AP61)*AE5</f>
        <v>5542.25173304069</v>
      </c>
      <c r="AR61" s="11">
        <f>(AJ61-AK61-AL61-AM61-AN61-AO61-AP61-AQ61)*AE5</f>
        <v>4803.28483530194</v>
      </c>
      <c r="AS61" s="11">
        <f>7/12*4162.85</f>
        <v>2428.32916666667</v>
      </c>
      <c r="AT61" s="11"/>
      <c r="AU61" s="11"/>
      <c r="AV61" s="11"/>
      <c r="AW61" s="11"/>
      <c r="AX61" s="11">
        <f t="shared" si="8"/>
        <v>69299.2854295117</v>
      </c>
      <c r="AY61" s="11"/>
      <c r="AZ61" s="11"/>
      <c r="BA61" s="11">
        <f t="shared" si="9"/>
        <v>28793.022262796</v>
      </c>
    </row>
    <row r="62" s="33" customFormat="1" ht="15" customHeight="1" spans="1:53">
      <c r="A62" s="8">
        <v>57</v>
      </c>
      <c r="B62" s="8" t="s">
        <v>117</v>
      </c>
      <c r="C62" s="8" t="s">
        <v>118</v>
      </c>
      <c r="D62" s="10" t="s">
        <v>119</v>
      </c>
      <c r="E62" s="8" t="s">
        <v>156</v>
      </c>
      <c r="F62" s="8" t="s">
        <v>153</v>
      </c>
      <c r="G62" s="42">
        <v>42395</v>
      </c>
      <c r="H62" s="43">
        <v>90000</v>
      </c>
      <c r="I62" s="11">
        <v>257011</v>
      </c>
      <c r="J62" s="11">
        <v>500000</v>
      </c>
      <c r="K62" s="8">
        <v>19</v>
      </c>
      <c r="L62" s="50">
        <v>45382</v>
      </c>
      <c r="M62" s="51">
        <f t="shared" si="33"/>
        <v>98.2027397260274</v>
      </c>
      <c r="N62" s="52">
        <f t="shared" si="34"/>
        <v>81.7972602739726</v>
      </c>
      <c r="O62" s="11">
        <f t="shared" si="0"/>
        <v>242989</v>
      </c>
      <c r="P62" s="53">
        <v>44598</v>
      </c>
      <c r="Q62" s="53">
        <v>46058</v>
      </c>
      <c r="R62" s="11">
        <f t="shared" si="27"/>
        <v>22.2246575342466</v>
      </c>
      <c r="S62" s="11">
        <v>720</v>
      </c>
      <c r="T62" s="11">
        <f t="shared" si="1"/>
        <v>98092.3076923077</v>
      </c>
      <c r="U62" s="61">
        <f t="shared" si="21"/>
        <v>0.485978</v>
      </c>
      <c r="V62" s="11">
        <f t="shared" si="22"/>
        <v>47670.7035076923</v>
      </c>
      <c r="W62" s="11">
        <f t="shared" si="4"/>
        <v>98092.3076923077</v>
      </c>
      <c r="X62" s="61">
        <f t="shared" si="5"/>
        <v>0.342768939336528</v>
      </c>
      <c r="Y62" s="11">
        <f t="shared" si="6"/>
        <v>33622.9962647646</v>
      </c>
      <c r="Z62" s="11">
        <f t="shared" si="15"/>
        <v>98092.3076923077</v>
      </c>
      <c r="AA62" s="61">
        <f t="shared" si="28"/>
        <v>0.454429223744292</v>
      </c>
      <c r="AB62" s="11">
        <f t="shared" si="29"/>
        <v>44576.0112399017</v>
      </c>
      <c r="AC62" s="8"/>
      <c r="AD62" s="69"/>
      <c r="AE62" s="69"/>
      <c r="AF62" s="11">
        <v>90000</v>
      </c>
      <c r="AG62" s="11">
        <f t="shared" si="7"/>
        <v>76923.0769230769</v>
      </c>
      <c r="AH62" s="11">
        <f t="shared" si="11"/>
        <v>7692.30769230769</v>
      </c>
      <c r="AI62" s="11">
        <v>400</v>
      </c>
      <c r="AJ62" s="11">
        <f t="shared" si="12"/>
        <v>98092.3076923077</v>
      </c>
      <c r="AK62" s="11">
        <f>AJ62*AE5</f>
        <v>13078.9743589743</v>
      </c>
      <c r="AL62" s="11">
        <f>(AJ62-AK62)*AE5</f>
        <v>11335.1111111111</v>
      </c>
      <c r="AM62" s="11">
        <f>(AJ62-AK62-AL62)*AE5</f>
        <v>9823.76296296295</v>
      </c>
      <c r="AN62" s="11">
        <f>(AJ62-AK62-AL62-AM62)*AE5</f>
        <v>8513.92790123456</v>
      </c>
      <c r="AO62" s="11">
        <f>(AJ62-AK62-AL62-AM62-AN62)*AE5</f>
        <v>7378.73751440328</v>
      </c>
      <c r="AP62" s="11">
        <f>(AJ62-AK62-AL62-AM62-AN62-AO62)*AE5</f>
        <v>6394.90584581618</v>
      </c>
      <c r="AQ62" s="11">
        <f>(AJ62-AK62-AL62-AM62-AN62-AO62-AP62)*AE5</f>
        <v>5542.25173304069</v>
      </c>
      <c r="AR62" s="11">
        <f>6/12*4803.28</f>
        <v>2401.64</v>
      </c>
      <c r="AS62" s="11"/>
      <c r="AT62" s="11"/>
      <c r="AU62" s="11"/>
      <c r="AV62" s="11"/>
      <c r="AW62" s="11"/>
      <c r="AX62" s="11">
        <f t="shared" si="8"/>
        <v>64469.3114275431</v>
      </c>
      <c r="AY62" s="11"/>
      <c r="AZ62" s="11"/>
      <c r="BA62" s="11">
        <f t="shared" si="9"/>
        <v>33622.9962647646</v>
      </c>
    </row>
    <row r="63" s="33" customFormat="1" ht="15" customHeight="1" spans="1:53">
      <c r="A63" s="8">
        <v>58</v>
      </c>
      <c r="B63" s="8" t="s">
        <v>120</v>
      </c>
      <c r="C63" s="8" t="s">
        <v>121</v>
      </c>
      <c r="D63" s="10" t="s">
        <v>122</v>
      </c>
      <c r="E63" s="8" t="s">
        <v>157</v>
      </c>
      <c r="F63" s="8" t="s">
        <v>151</v>
      </c>
      <c r="G63" s="42">
        <v>42683</v>
      </c>
      <c r="H63" s="43">
        <v>200000</v>
      </c>
      <c r="I63" s="11">
        <v>156996</v>
      </c>
      <c r="J63" s="11">
        <v>600000</v>
      </c>
      <c r="K63" s="8">
        <v>29</v>
      </c>
      <c r="L63" s="50">
        <v>45382</v>
      </c>
      <c r="M63" s="51">
        <f t="shared" si="33"/>
        <v>88.7342465753425</v>
      </c>
      <c r="N63" s="52">
        <f t="shared" si="34"/>
        <v>91.2657534246575</v>
      </c>
      <c r="O63" s="11">
        <f t="shared" si="0"/>
        <v>443004</v>
      </c>
      <c r="P63" s="53">
        <v>44790</v>
      </c>
      <c r="Q63" s="53">
        <v>46250</v>
      </c>
      <c r="R63" s="11">
        <f t="shared" si="27"/>
        <v>28.5369863013699</v>
      </c>
      <c r="S63" s="11">
        <v>720</v>
      </c>
      <c r="T63" s="11">
        <f t="shared" si="1"/>
        <v>217494.017094017</v>
      </c>
      <c r="U63" s="61">
        <f t="shared" si="21"/>
        <v>0.73834</v>
      </c>
      <c r="V63" s="11">
        <f t="shared" si="22"/>
        <v>160584.532581197</v>
      </c>
      <c r="W63" s="11">
        <f t="shared" si="4"/>
        <v>217494.017094017</v>
      </c>
      <c r="X63" s="61">
        <f t="shared" si="5"/>
        <v>0.386085873291024</v>
      </c>
      <c r="Y63" s="11">
        <f t="shared" si="6"/>
        <v>83971.3675253165</v>
      </c>
      <c r="Z63" s="11">
        <f t="shared" si="15"/>
        <v>217494.017094017</v>
      </c>
      <c r="AA63" s="61">
        <f t="shared" si="28"/>
        <v>0.50703196347032</v>
      </c>
      <c r="AB63" s="11">
        <f t="shared" si="29"/>
        <v>110276.418530227</v>
      </c>
      <c r="AC63" s="8"/>
      <c r="AD63" s="69"/>
      <c r="AE63" s="69"/>
      <c r="AF63" s="11">
        <v>200000</v>
      </c>
      <c r="AG63" s="11">
        <f t="shared" si="7"/>
        <v>170940.170940171</v>
      </c>
      <c r="AH63" s="11">
        <f t="shared" si="11"/>
        <v>17094.0170940171</v>
      </c>
      <c r="AI63" s="11">
        <v>400</v>
      </c>
      <c r="AJ63" s="11">
        <f t="shared" si="12"/>
        <v>217494.017094017</v>
      </c>
      <c r="AK63" s="11">
        <f>AJ63*AE5</f>
        <v>28999.2022792022</v>
      </c>
      <c r="AL63" s="11">
        <f>(AJ63-AK63)*AE5</f>
        <v>25132.6419753086</v>
      </c>
      <c r="AM63" s="11">
        <f>(AJ63-AK63-AL63)*AE5</f>
        <v>21781.6230452674</v>
      </c>
      <c r="AN63" s="11">
        <f>(AJ63-AK63-AL63-AM63)*AE5</f>
        <v>18877.4066392318</v>
      </c>
      <c r="AO63" s="11">
        <f>(AJ63-AK63-AL63-AM63-AN63)*AE5</f>
        <v>16360.4190873342</v>
      </c>
      <c r="AP63" s="11">
        <f>(AJ63-AK63-AL63-AM63-AN63-AO63)*AE5</f>
        <v>14179.0298756897</v>
      </c>
      <c r="AQ63" s="11">
        <f>8/12*12288.49</f>
        <v>8192.32666666667</v>
      </c>
      <c r="AR63" s="11"/>
      <c r="AS63" s="11"/>
      <c r="AT63" s="11"/>
      <c r="AU63" s="11"/>
      <c r="AV63" s="11"/>
      <c r="AW63" s="11"/>
      <c r="AX63" s="11">
        <f t="shared" si="8"/>
        <v>133522.649568701</v>
      </c>
      <c r="AY63" s="11"/>
      <c r="AZ63" s="11"/>
      <c r="BA63" s="11">
        <f t="shared" si="9"/>
        <v>83971.3675253165</v>
      </c>
    </row>
    <row r="64" s="33" customFormat="1" ht="15" customHeight="1" spans="1:53">
      <c r="A64" s="8">
        <v>59</v>
      </c>
      <c r="B64" s="8" t="s">
        <v>123</v>
      </c>
      <c r="C64" s="8" t="s">
        <v>124</v>
      </c>
      <c r="D64" s="10" t="s">
        <v>122</v>
      </c>
      <c r="E64" s="8" t="s">
        <v>150</v>
      </c>
      <c r="F64" s="8" t="s">
        <v>151</v>
      </c>
      <c r="G64" s="42">
        <v>41649</v>
      </c>
      <c r="H64" s="43">
        <v>213000</v>
      </c>
      <c r="I64" s="11">
        <v>25647</v>
      </c>
      <c r="J64" s="11">
        <v>600000</v>
      </c>
      <c r="K64" s="8">
        <v>29</v>
      </c>
      <c r="L64" s="50">
        <v>45382</v>
      </c>
      <c r="M64" s="51">
        <f t="shared" si="33"/>
        <v>122.728767123288</v>
      </c>
      <c r="N64" s="52">
        <f t="shared" si="34"/>
        <v>57.2712328767123</v>
      </c>
      <c r="O64" s="11">
        <f t="shared" si="0"/>
        <v>574353</v>
      </c>
      <c r="P64" s="53">
        <v>43845</v>
      </c>
      <c r="Q64" s="53">
        <v>45305</v>
      </c>
      <c r="R64" s="11"/>
      <c r="S64" s="11">
        <v>720</v>
      </c>
      <c r="T64" s="11">
        <f t="shared" si="1"/>
        <v>231605.128205128</v>
      </c>
      <c r="U64" s="61">
        <f t="shared" si="21"/>
        <v>0.957255</v>
      </c>
      <c r="V64" s="11">
        <f t="shared" si="22"/>
        <v>221705.167</v>
      </c>
      <c r="W64" s="11">
        <f t="shared" si="4"/>
        <v>231605.128205128</v>
      </c>
      <c r="X64" s="61">
        <f t="shared" si="5"/>
        <v>0.257457530079844</v>
      </c>
      <c r="Y64" s="11">
        <f t="shared" si="6"/>
        <v>59628.4842615179</v>
      </c>
      <c r="Z64" s="11">
        <f t="shared" si="15"/>
        <v>231605.128205128</v>
      </c>
      <c r="AA64" s="61">
        <f t="shared" si="28"/>
        <v>0.318173515981735</v>
      </c>
      <c r="AB64" s="11">
        <f t="shared" si="29"/>
        <v>73690.6179604262</v>
      </c>
      <c r="AC64" s="8"/>
      <c r="AD64" s="69"/>
      <c r="AE64" s="69"/>
      <c r="AF64" s="11">
        <v>213000</v>
      </c>
      <c r="AG64" s="11">
        <f t="shared" si="7"/>
        <v>182051.282051282</v>
      </c>
      <c r="AH64" s="11">
        <f t="shared" si="11"/>
        <v>18205.1282051282</v>
      </c>
      <c r="AI64" s="11">
        <v>400</v>
      </c>
      <c r="AJ64" s="11">
        <f t="shared" si="12"/>
        <v>231605.128205128</v>
      </c>
      <c r="AK64" s="11">
        <f>AJ64*AE5</f>
        <v>30880.6837606837</v>
      </c>
      <c r="AL64" s="11">
        <f>(AJ64-AK64)*AE5</f>
        <v>26763.2592592592</v>
      </c>
      <c r="AM64" s="11">
        <f>(AJ64-AK64-AL64)*AE5</f>
        <v>23194.824691358</v>
      </c>
      <c r="AN64" s="11">
        <f>(AJ64-AK64-AL64-AM64)*AE5</f>
        <v>20102.1813991769</v>
      </c>
      <c r="AO64" s="11">
        <f>(AJ64-AK64-AL64-AM64-AN64)*AE5</f>
        <v>17421.8905459533</v>
      </c>
      <c r="AP64" s="11">
        <f>(AJ64-AK64-AL64-AM64-AN64-AO64)*AE5</f>
        <v>15098.9718064929</v>
      </c>
      <c r="AQ64" s="11">
        <f>(AJ64-AK64-AL64-AM64-AN64-AO64-AP64)*AE5</f>
        <v>13085.7755656272</v>
      </c>
      <c r="AR64" s="11">
        <f>(AJ64-AK64-AL64-AM64-AN64-AO64-AP64-AQ64)*AE5</f>
        <v>11341.0054902102</v>
      </c>
      <c r="AS64" s="11">
        <f>(AJ64-AK64-AL64-AM64-AN64-AO64-AP64-AQ64-AR64)*AE5</f>
        <v>9828.87142484887</v>
      </c>
      <c r="AT64" s="11">
        <f>6/12*8518.36</f>
        <v>4259.18</v>
      </c>
      <c r="AU64" s="11"/>
      <c r="AV64" s="11"/>
      <c r="AW64" s="11"/>
      <c r="AX64" s="11">
        <f t="shared" si="8"/>
        <v>171976.64394361</v>
      </c>
      <c r="AY64" s="11"/>
      <c r="AZ64" s="11"/>
      <c r="BA64" s="11">
        <f t="shared" si="9"/>
        <v>59628.4842615179</v>
      </c>
    </row>
    <row r="65" s="33" customFormat="1" ht="15" customHeight="1" spans="1:53">
      <c r="A65" s="8">
        <v>60</v>
      </c>
      <c r="B65" s="77" t="s">
        <v>125</v>
      </c>
      <c r="C65" s="77" t="s">
        <v>126</v>
      </c>
      <c r="D65" s="78" t="s">
        <v>127</v>
      </c>
      <c r="E65" s="40" t="s">
        <v>204</v>
      </c>
      <c r="F65" s="8" t="s">
        <v>153</v>
      </c>
      <c r="G65" s="79"/>
      <c r="H65" s="80"/>
      <c r="I65" s="40"/>
      <c r="J65" s="11">
        <v>500000</v>
      </c>
      <c r="K65" s="8">
        <v>19</v>
      </c>
      <c r="L65" s="50">
        <v>45382</v>
      </c>
      <c r="M65" s="40"/>
      <c r="N65" s="85"/>
      <c r="O65" s="40"/>
      <c r="P65" s="78"/>
      <c r="Q65" s="87"/>
      <c r="R65" s="88"/>
      <c r="S65" s="89"/>
      <c r="T65" s="89"/>
      <c r="U65" s="90"/>
      <c r="V65" s="91"/>
      <c r="W65" s="89"/>
      <c r="X65" s="92"/>
      <c r="Y65" s="11"/>
      <c r="Z65" s="89"/>
      <c r="AA65" s="61"/>
      <c r="AB65" s="11"/>
      <c r="AC65" s="94"/>
      <c r="AD65" s="69"/>
      <c r="AE65" s="69"/>
      <c r="AF65" s="11"/>
      <c r="AG65" s="11"/>
      <c r="AH65" s="89"/>
      <c r="AI65" s="11"/>
      <c r="AJ65" s="11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</row>
    <row r="66" s="33" customFormat="1" ht="15" customHeight="1" spans="1:53">
      <c r="A66" s="8">
        <v>61</v>
      </c>
      <c r="B66" s="77" t="s">
        <v>125</v>
      </c>
      <c r="C66" s="77" t="s">
        <v>128</v>
      </c>
      <c r="D66" s="78" t="s">
        <v>127</v>
      </c>
      <c r="E66" s="40" t="s">
        <v>204</v>
      </c>
      <c r="F66" s="8" t="s">
        <v>153</v>
      </c>
      <c r="G66" s="79"/>
      <c r="H66" s="80"/>
      <c r="I66" s="40"/>
      <c r="J66" s="11">
        <v>500000</v>
      </c>
      <c r="K66" s="8">
        <v>19</v>
      </c>
      <c r="L66" s="50">
        <v>45382</v>
      </c>
      <c r="M66" s="40"/>
      <c r="N66" s="85"/>
      <c r="O66" s="40"/>
      <c r="P66" s="78"/>
      <c r="Q66" s="53"/>
      <c r="R66" s="51"/>
      <c r="S66" s="11"/>
      <c r="T66" s="11"/>
      <c r="U66" s="93"/>
      <c r="V66" s="94"/>
      <c r="W66" s="11"/>
      <c r="X66" s="61"/>
      <c r="Y66" s="11"/>
      <c r="Z66" s="11"/>
      <c r="AA66" s="61"/>
      <c r="AB66" s="11"/>
      <c r="AC66" s="94"/>
      <c r="AD66" s="69"/>
      <c r="AE66" s="69"/>
      <c r="AF66" s="11"/>
      <c r="AG66" s="11"/>
      <c r="AH66" s="89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</row>
    <row r="67" s="33" customFormat="1" ht="15" customHeight="1" spans="1:53">
      <c r="A67" s="8">
        <v>62</v>
      </c>
      <c r="B67" s="77" t="s">
        <v>125</v>
      </c>
      <c r="C67" s="77" t="s">
        <v>129</v>
      </c>
      <c r="D67" s="78" t="s">
        <v>127</v>
      </c>
      <c r="E67" s="40" t="s">
        <v>204</v>
      </c>
      <c r="F67" s="8" t="s">
        <v>153</v>
      </c>
      <c r="G67" s="79"/>
      <c r="H67" s="80"/>
      <c r="I67" s="40"/>
      <c r="J67" s="11">
        <v>500000</v>
      </c>
      <c r="K67" s="8">
        <v>19</v>
      </c>
      <c r="L67" s="50">
        <v>45382</v>
      </c>
      <c r="M67" s="40"/>
      <c r="N67" s="85"/>
      <c r="O67" s="40"/>
      <c r="P67" s="78"/>
      <c r="Q67" s="53"/>
      <c r="R67" s="51"/>
      <c r="S67" s="11"/>
      <c r="T67" s="11"/>
      <c r="U67" s="93"/>
      <c r="V67" s="94"/>
      <c r="W67" s="11"/>
      <c r="X67" s="61"/>
      <c r="Y67" s="11"/>
      <c r="Z67" s="11"/>
      <c r="AA67" s="61"/>
      <c r="AB67" s="11"/>
      <c r="AC67" s="94"/>
      <c r="AD67" s="69"/>
      <c r="AE67" s="69"/>
      <c r="AF67" s="11"/>
      <c r="AG67" s="11"/>
      <c r="AH67" s="89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</row>
    <row r="68" s="32" customFormat="1" spans="1:53">
      <c r="A68" s="81"/>
      <c r="B68" s="77" t="s">
        <v>130</v>
      </c>
      <c r="C68" s="82"/>
      <c r="D68" s="83"/>
      <c r="E68" s="81"/>
      <c r="F68" s="81"/>
      <c r="G68" s="83"/>
      <c r="H68" s="84"/>
      <c r="I68" s="82"/>
      <c r="J68" s="84"/>
      <c r="K68" s="82"/>
      <c r="L68" s="82"/>
      <c r="M68" s="84"/>
      <c r="N68" s="86"/>
      <c r="O68" s="82"/>
      <c r="P68" s="83"/>
      <c r="Q68" s="83"/>
      <c r="R68" s="95">
        <f>SUM(R6:R64)</f>
        <v>709.446575342466</v>
      </c>
      <c r="S68" s="95"/>
      <c r="T68" s="95">
        <f t="shared" ref="S68:Z68" si="35">SUM(T6:T64)</f>
        <v>8184164.10256411</v>
      </c>
      <c r="U68" s="95">
        <f t="shared" si="35"/>
        <v>29.2856672703196</v>
      </c>
      <c r="V68" s="95">
        <f t="shared" si="35"/>
        <v>3914565.13813035</v>
      </c>
      <c r="W68" s="95">
        <f t="shared" si="35"/>
        <v>8184164.10256411</v>
      </c>
      <c r="X68" s="95">
        <f t="shared" si="35"/>
        <v>16.730128550075</v>
      </c>
      <c r="Y68" s="95">
        <f t="shared" si="35"/>
        <v>2487604.354101</v>
      </c>
      <c r="Z68" s="95">
        <f t="shared" si="35"/>
        <v>8184164.10256411</v>
      </c>
      <c r="AA68" s="95"/>
      <c r="AB68" s="95">
        <f>SUM(AB6:AB64)</f>
        <v>3044146.79155446</v>
      </c>
      <c r="AC68" s="82"/>
      <c r="AD68" s="5"/>
      <c r="AE68" s="5"/>
      <c r="AF68" s="40"/>
      <c r="AG68" s="40"/>
      <c r="AH68" s="40"/>
      <c r="AI68" s="40"/>
      <c r="AJ68" s="40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</row>
    <row r="69" spans="22:44">
      <c r="V69" s="96">
        <f>SUM(V6:V64)</f>
        <v>3914565.13813035</v>
      </c>
      <c r="W69" s="96"/>
      <c r="X69" s="96"/>
      <c r="Y69" s="99">
        <f>SUM(Y6:Y64)</f>
        <v>2487604.35410099</v>
      </c>
      <c r="Z69" s="99"/>
      <c r="AA69" s="99"/>
      <c r="AB69" s="99">
        <f>SUM(AB6:AB64)</f>
        <v>3044146.79155446</v>
      </c>
      <c r="AR69" s="102"/>
    </row>
    <row r="70" spans="21:36">
      <c r="U70" s="97" t="s">
        <v>205</v>
      </c>
      <c r="V70" s="98">
        <f>V69/59</f>
        <v>66348.5616632263</v>
      </c>
      <c r="W70" s="98"/>
      <c r="X70" s="98"/>
      <c r="Y70" s="100">
        <f>Y69/59</f>
        <v>42162.7856627287</v>
      </c>
      <c r="Z70" s="100"/>
      <c r="AA70" s="100"/>
      <c r="AB70" s="100">
        <f>AB69/59</f>
        <v>51595.7083314315</v>
      </c>
      <c r="AJ70" s="5">
        <f>(AJ63+AJ64)/2</f>
        <v>224549.572649573</v>
      </c>
    </row>
    <row r="71" spans="36:36">
      <c r="AJ71" s="5">
        <f>AJ70/15</f>
        <v>14969.9715099715</v>
      </c>
    </row>
  </sheetData>
  <mergeCells count="27">
    <mergeCell ref="A1:AC1"/>
    <mergeCell ref="A2:AC2"/>
    <mergeCell ref="T4:V4"/>
    <mergeCell ref="W4:Y4"/>
    <mergeCell ref="Z4:AB4"/>
    <mergeCell ref="AK4:AZ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AC4:AC5"/>
    <mergeCell ref="AD58:AD61"/>
  </mergeCells>
  <pageMargins left="0.75" right="0.75" top="1" bottom="1" header="0.5" footer="0.5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5"/>
  <sheetViews>
    <sheetView workbookViewId="0">
      <selection activeCell="G15" sqref="G15"/>
    </sheetView>
  </sheetViews>
  <sheetFormatPr defaultColWidth="9" defaultRowHeight="12"/>
  <cols>
    <col min="1" max="1" width="4.625" style="5" customWidth="1"/>
    <col min="2" max="2" width="11.25" style="6" customWidth="1"/>
    <col min="3" max="3" width="10.25" style="4" customWidth="1"/>
    <col min="4" max="4" width="9.625" style="4" customWidth="1"/>
    <col min="5" max="5" width="10.625" style="5" customWidth="1"/>
    <col min="6" max="6" width="9.125" style="4" customWidth="1"/>
    <col min="7" max="7" width="9.25" style="4" customWidth="1"/>
    <col min="8" max="8" width="9.5" style="4" customWidth="1"/>
    <col min="9" max="9" width="8.75" style="4" customWidth="1"/>
    <col min="10" max="10" width="8.25" style="4" customWidth="1"/>
    <col min="11" max="11" width="9" style="4" customWidth="1"/>
    <col min="12" max="13" width="9.625" style="4" customWidth="1"/>
    <col min="14" max="14" width="10.75" style="4" customWidth="1"/>
    <col min="15" max="15" width="9.875" style="5" customWidth="1"/>
    <col min="16" max="16" width="8.875" style="5" customWidth="1"/>
    <col min="17" max="17" width="10.375" style="5" customWidth="1"/>
    <col min="18" max="18" width="9.25" style="4"/>
    <col min="19" max="19" width="10.375" style="4" customWidth="1"/>
    <col min="20" max="21" width="10.125" style="4" customWidth="1"/>
    <col min="22" max="22" width="10.5" style="4" customWidth="1"/>
    <col min="23" max="16384" width="9" style="4"/>
  </cols>
  <sheetData>
    <row r="1" s="4" customFormat="1" ht="27" customHeight="1" spans="1:22">
      <c r="A1" s="7" t="s">
        <v>206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="4" customFormat="1" ht="19" customHeight="1" spans="1:2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3" t="s">
        <v>2</v>
      </c>
    </row>
    <row r="3" s="4" customFormat="1" ht="15" customHeight="1" spans="1:22">
      <c r="A3" s="8" t="s">
        <v>3</v>
      </c>
      <c r="B3" s="8" t="s">
        <v>207</v>
      </c>
      <c r="C3" s="8" t="s">
        <v>208</v>
      </c>
      <c r="D3" s="8"/>
      <c r="E3" s="8"/>
      <c r="F3" s="8" t="s">
        <v>209</v>
      </c>
      <c r="G3" s="8"/>
      <c r="H3" s="8"/>
      <c r="I3" s="8"/>
      <c r="J3" s="8"/>
      <c r="K3" s="8"/>
      <c r="L3" s="8"/>
      <c r="M3" s="8"/>
      <c r="N3" s="8"/>
      <c r="O3" s="8" t="s">
        <v>210</v>
      </c>
      <c r="P3" s="9" t="s">
        <v>211</v>
      </c>
      <c r="Q3" s="24" t="s">
        <v>212</v>
      </c>
      <c r="R3" s="8" t="s">
        <v>213</v>
      </c>
      <c r="S3" s="8" t="s">
        <v>214</v>
      </c>
      <c r="T3" s="9" t="s">
        <v>145</v>
      </c>
      <c r="U3" s="9" t="s">
        <v>146</v>
      </c>
      <c r="V3" s="8" t="s">
        <v>10</v>
      </c>
    </row>
    <row r="4" s="4" customFormat="1" ht="27" customHeight="1" spans="1:22">
      <c r="A4" s="8"/>
      <c r="B4" s="8"/>
      <c r="C4" s="9" t="s">
        <v>215</v>
      </c>
      <c r="D4" s="9" t="s">
        <v>216</v>
      </c>
      <c r="E4" s="9" t="s">
        <v>199</v>
      </c>
      <c r="F4" s="9" t="s">
        <v>217</v>
      </c>
      <c r="G4" s="8" t="s">
        <v>218</v>
      </c>
      <c r="H4" s="8" t="s">
        <v>219</v>
      </c>
      <c r="I4" s="8" t="s">
        <v>220</v>
      </c>
      <c r="J4" s="9" t="s">
        <v>221</v>
      </c>
      <c r="K4" s="8" t="s">
        <v>222</v>
      </c>
      <c r="L4" s="8" t="s">
        <v>223</v>
      </c>
      <c r="M4" s="8" t="s">
        <v>224</v>
      </c>
      <c r="N4" s="8" t="s">
        <v>199</v>
      </c>
      <c r="O4" s="8"/>
      <c r="P4" s="9"/>
      <c r="Q4" s="25"/>
      <c r="R4" s="8"/>
      <c r="S4" s="8"/>
      <c r="T4" s="9"/>
      <c r="U4" s="9"/>
      <c r="V4" s="8"/>
    </row>
    <row r="5" s="4" customFormat="1" ht="16" customHeight="1" spans="1:22">
      <c r="A5" s="8">
        <v>1</v>
      </c>
      <c r="B5" s="10" t="s">
        <v>64</v>
      </c>
      <c r="C5" s="11">
        <f>18*2*63.5%*20*350+20*1200</f>
        <v>184020</v>
      </c>
      <c r="D5" s="11">
        <v>24000</v>
      </c>
      <c r="E5" s="11">
        <f t="shared" ref="E5:E30" si="0">SUM(C5:D5)</f>
        <v>208020</v>
      </c>
      <c r="F5" s="11">
        <f>180*365+20000</f>
        <v>85700</v>
      </c>
      <c r="G5" s="11">
        <f>0.8*8*20*350</f>
        <v>44800</v>
      </c>
      <c r="H5" s="11">
        <f>8*20*350*0.1+950*4</f>
        <v>9400</v>
      </c>
      <c r="I5" s="11">
        <f t="shared" ref="I5:I7" si="1">310*19</f>
        <v>5890</v>
      </c>
      <c r="J5" s="11">
        <v>720</v>
      </c>
      <c r="K5" s="11">
        <v>0</v>
      </c>
      <c r="L5" s="11">
        <v>3600</v>
      </c>
      <c r="M5" s="11">
        <f>98092.3076923077/15</f>
        <v>6539.48717948718</v>
      </c>
      <c r="N5" s="11">
        <f t="shared" ref="N5:N30" si="2">SUM(F5:M5)</f>
        <v>156649.487179487</v>
      </c>
      <c r="O5" s="11">
        <f t="shared" ref="O5:O30" si="3">E5-N5</f>
        <v>51370.5128205128</v>
      </c>
      <c r="P5" s="20">
        <v>0.1</v>
      </c>
      <c r="Q5" s="11">
        <f t="shared" ref="Q5:Q30" si="4">N5*P5</f>
        <v>15664.9487179487</v>
      </c>
      <c r="R5" s="11">
        <f t="shared" ref="R5:R30" si="5">E5*3%</f>
        <v>6240.6</v>
      </c>
      <c r="S5" s="11">
        <f t="shared" ref="S5:S30" si="6">E5*10%</f>
        <v>20802</v>
      </c>
      <c r="T5" s="26">
        <f t="shared" ref="T5:T30" si="7">O5-Q5-R5-S5</f>
        <v>8662.9641025641</v>
      </c>
      <c r="U5" s="26">
        <f t="shared" ref="U5:U30" si="8">T5/12</f>
        <v>721.913675213675</v>
      </c>
      <c r="V5" s="27"/>
    </row>
    <row r="6" s="4" customFormat="1" ht="16" customHeight="1" spans="1:22">
      <c r="A6" s="8">
        <v>2</v>
      </c>
      <c r="B6" s="10" t="s">
        <v>76</v>
      </c>
      <c r="C6" s="11">
        <f>18*12*63.5%*4*350</f>
        <v>192024</v>
      </c>
      <c r="D6" s="11">
        <v>26130</v>
      </c>
      <c r="E6" s="11">
        <f t="shared" si="0"/>
        <v>218154</v>
      </c>
      <c r="F6" s="11">
        <f>200*365+24000</f>
        <v>97000</v>
      </c>
      <c r="G6" s="11">
        <f>0.8*12*12*350</f>
        <v>40320</v>
      </c>
      <c r="H6" s="11">
        <f>12*12*350*0.1+950*4</f>
        <v>8840</v>
      </c>
      <c r="I6" s="11">
        <f t="shared" si="1"/>
        <v>5890</v>
      </c>
      <c r="J6" s="11">
        <v>720</v>
      </c>
      <c r="K6" s="11">
        <v>0</v>
      </c>
      <c r="L6" s="11">
        <v>3600</v>
      </c>
      <c r="M6" s="11">
        <f>100000/15</f>
        <v>6666.66666666667</v>
      </c>
      <c r="N6" s="11">
        <f t="shared" si="2"/>
        <v>163036.666666667</v>
      </c>
      <c r="O6" s="11">
        <f t="shared" si="3"/>
        <v>55117.3333333333</v>
      </c>
      <c r="P6" s="20">
        <v>0.1</v>
      </c>
      <c r="Q6" s="11">
        <f t="shared" si="4"/>
        <v>16303.6666666667</v>
      </c>
      <c r="R6" s="11">
        <f t="shared" si="5"/>
        <v>6544.62</v>
      </c>
      <c r="S6" s="11">
        <f t="shared" si="6"/>
        <v>21815.4</v>
      </c>
      <c r="T6" s="26">
        <f t="shared" si="7"/>
        <v>10453.6466666667</v>
      </c>
      <c r="U6" s="26">
        <f t="shared" si="8"/>
        <v>871.137222222223</v>
      </c>
      <c r="V6" s="27"/>
    </row>
    <row r="7" s="4" customFormat="1" ht="16" customHeight="1" spans="1:22">
      <c r="A7" s="8">
        <v>3</v>
      </c>
      <c r="B7" s="10" t="s">
        <v>51</v>
      </c>
      <c r="C7" s="11">
        <f>18*12*70%*3*350+13*1000</f>
        <v>171760</v>
      </c>
      <c r="D7" s="11">
        <f>120000/5</f>
        <v>24000</v>
      </c>
      <c r="E7" s="11">
        <f t="shared" si="0"/>
        <v>195760</v>
      </c>
      <c r="F7" s="11">
        <f t="shared" ref="F7:F12" si="9">180*365+20000</f>
        <v>85700</v>
      </c>
      <c r="G7" s="11">
        <f>0.8*11*12*350</f>
        <v>36960</v>
      </c>
      <c r="H7" s="11">
        <f>11*12*350*0.1+950*4</f>
        <v>8420</v>
      </c>
      <c r="I7" s="11">
        <f t="shared" si="1"/>
        <v>5890</v>
      </c>
      <c r="J7" s="11">
        <v>720</v>
      </c>
      <c r="K7" s="11">
        <v>0</v>
      </c>
      <c r="L7" s="11">
        <v>3600</v>
      </c>
      <c r="M7" s="11">
        <f>98092.3076923077/15</f>
        <v>6539.48717948718</v>
      </c>
      <c r="N7" s="11">
        <f t="shared" si="2"/>
        <v>147829.487179487</v>
      </c>
      <c r="O7" s="11">
        <f t="shared" si="3"/>
        <v>47930.5128205128</v>
      </c>
      <c r="P7" s="20">
        <v>0.1</v>
      </c>
      <c r="Q7" s="11">
        <f t="shared" si="4"/>
        <v>14782.9487179487</v>
      </c>
      <c r="R7" s="11">
        <f t="shared" si="5"/>
        <v>5872.8</v>
      </c>
      <c r="S7" s="11">
        <f t="shared" si="6"/>
        <v>19576</v>
      </c>
      <c r="T7" s="26">
        <f t="shared" si="7"/>
        <v>7698.7641025641</v>
      </c>
      <c r="U7" s="26">
        <f t="shared" si="8"/>
        <v>641.563675213675</v>
      </c>
      <c r="V7" s="27"/>
    </row>
    <row r="8" s="4" customFormat="1" ht="16" customHeight="1" spans="1:22">
      <c r="A8" s="8">
        <v>4</v>
      </c>
      <c r="B8" s="10" t="s">
        <v>13</v>
      </c>
      <c r="C8" s="11">
        <f>28*2*77%*13*350</f>
        <v>196196</v>
      </c>
      <c r="D8" s="11">
        <v>29600</v>
      </c>
      <c r="E8" s="11">
        <f t="shared" si="0"/>
        <v>225796</v>
      </c>
      <c r="F8" s="11">
        <f t="shared" ref="F8:F10" si="10">180*365+24000</f>
        <v>89700</v>
      </c>
      <c r="G8" s="11">
        <f>1*49*2*350</f>
        <v>34300</v>
      </c>
      <c r="H8" s="11">
        <f>49*2*350*0.12+950*4</f>
        <v>7916</v>
      </c>
      <c r="I8" s="11">
        <f t="shared" ref="I8:I10" si="11">401*29</f>
        <v>11629</v>
      </c>
      <c r="J8" s="11">
        <v>720</v>
      </c>
      <c r="K8" s="11">
        <f>C8*65%*8%/2</f>
        <v>5101.096</v>
      </c>
      <c r="L8" s="11">
        <v>6000</v>
      </c>
      <c r="M8" s="11">
        <f>([1]计算表!$AK$6+[1]计算表!$AK$8+[1]计算表!$AK$33)/3/15</f>
        <v>13052.3076923077</v>
      </c>
      <c r="N8" s="11">
        <f t="shared" si="2"/>
        <v>168418.403692308</v>
      </c>
      <c r="O8" s="11">
        <f t="shared" si="3"/>
        <v>57377.5963076924</v>
      </c>
      <c r="P8" s="20">
        <v>0.1</v>
      </c>
      <c r="Q8" s="11">
        <f t="shared" si="4"/>
        <v>16841.8403692308</v>
      </c>
      <c r="R8" s="11">
        <f t="shared" si="5"/>
        <v>6773.88</v>
      </c>
      <c r="S8" s="11">
        <f t="shared" si="6"/>
        <v>22579.6</v>
      </c>
      <c r="T8" s="26">
        <f t="shared" si="7"/>
        <v>11182.2759384616</v>
      </c>
      <c r="U8" s="26">
        <f t="shared" si="8"/>
        <v>931.856328205133</v>
      </c>
      <c r="V8" s="28"/>
    </row>
    <row r="9" s="4" customFormat="1" ht="16" customHeight="1" spans="1:22">
      <c r="A9" s="8">
        <v>5</v>
      </c>
      <c r="B9" s="10" t="s">
        <v>122</v>
      </c>
      <c r="C9" s="11">
        <f>28*2*75%*11.5*350</f>
        <v>169050</v>
      </c>
      <c r="D9" s="11">
        <v>32400</v>
      </c>
      <c r="E9" s="11">
        <f t="shared" si="0"/>
        <v>201450</v>
      </c>
      <c r="F9" s="11">
        <f t="shared" si="10"/>
        <v>89700</v>
      </c>
      <c r="G9" s="11">
        <f>1*29*2*350</f>
        <v>20300</v>
      </c>
      <c r="H9" s="11">
        <f>29*2*350*0.12+950*4</f>
        <v>6236</v>
      </c>
      <c r="I9" s="11">
        <f t="shared" si="11"/>
        <v>11629</v>
      </c>
      <c r="J9" s="11">
        <v>720</v>
      </c>
      <c r="K9" s="11">
        <v>0</v>
      </c>
      <c r="L9" s="11">
        <v>6000</v>
      </c>
      <c r="M9" s="11">
        <f>224549.572649573/15</f>
        <v>14969.9715099715</v>
      </c>
      <c r="N9" s="11">
        <f t="shared" si="2"/>
        <v>149554.971509972</v>
      </c>
      <c r="O9" s="11">
        <f t="shared" si="3"/>
        <v>51895.0284900285</v>
      </c>
      <c r="P9" s="20">
        <v>0.1</v>
      </c>
      <c r="Q9" s="11">
        <f t="shared" si="4"/>
        <v>14955.4971509972</v>
      </c>
      <c r="R9" s="11">
        <f t="shared" si="5"/>
        <v>6043.5</v>
      </c>
      <c r="S9" s="11">
        <f t="shared" si="6"/>
        <v>20145</v>
      </c>
      <c r="T9" s="26">
        <f t="shared" si="7"/>
        <v>10751.0313390313</v>
      </c>
      <c r="U9" s="26">
        <f t="shared" si="8"/>
        <v>895.919278252609</v>
      </c>
      <c r="V9" s="27"/>
    </row>
    <row r="10" s="4" customFormat="1" ht="16" customHeight="1" spans="1:22">
      <c r="A10" s="8">
        <v>6</v>
      </c>
      <c r="B10" s="10" t="s">
        <v>15</v>
      </c>
      <c r="C10" s="11">
        <f>28*2*76.5%*15*350</f>
        <v>224910</v>
      </c>
      <c r="D10" s="11">
        <f>32400</f>
        <v>32400</v>
      </c>
      <c r="E10" s="11">
        <f t="shared" si="0"/>
        <v>257310</v>
      </c>
      <c r="F10" s="11">
        <f t="shared" si="10"/>
        <v>89700</v>
      </c>
      <c r="G10" s="11">
        <f>1*69*2*350</f>
        <v>48300</v>
      </c>
      <c r="H10" s="11">
        <f>69*2*350*0.12+950*4</f>
        <v>9596</v>
      </c>
      <c r="I10" s="11">
        <f t="shared" si="11"/>
        <v>11629</v>
      </c>
      <c r="J10" s="12">
        <v>720</v>
      </c>
      <c r="K10" s="12">
        <f>C10*75%*8%/2</f>
        <v>6747.3</v>
      </c>
      <c r="L10" s="12">
        <v>6000</v>
      </c>
      <c r="M10" s="12">
        <f>261781/15</f>
        <v>17452.0666666667</v>
      </c>
      <c r="N10" s="11">
        <f t="shared" si="2"/>
        <v>190144.366666667</v>
      </c>
      <c r="O10" s="11">
        <f t="shared" si="3"/>
        <v>67165.6333333334</v>
      </c>
      <c r="P10" s="20">
        <v>0.1</v>
      </c>
      <c r="Q10" s="11">
        <f t="shared" si="4"/>
        <v>19014.4366666667</v>
      </c>
      <c r="R10" s="11">
        <f t="shared" si="5"/>
        <v>7719.3</v>
      </c>
      <c r="S10" s="11">
        <f t="shared" si="6"/>
        <v>25731</v>
      </c>
      <c r="T10" s="26">
        <f t="shared" si="7"/>
        <v>14700.8966666667</v>
      </c>
      <c r="U10" s="26">
        <f t="shared" si="8"/>
        <v>1225.07472222222</v>
      </c>
      <c r="V10" s="27"/>
    </row>
    <row r="11" s="4" customFormat="1" ht="16" customHeight="1" spans="1:22">
      <c r="A11" s="8">
        <v>7</v>
      </c>
      <c r="B11" s="10" t="s">
        <v>34</v>
      </c>
      <c r="C11" s="11">
        <f>18*80%*10*3*350</f>
        <v>151200</v>
      </c>
      <c r="D11" s="11">
        <f>127000/5</f>
        <v>25400</v>
      </c>
      <c r="E11" s="11">
        <f t="shared" si="0"/>
        <v>176600</v>
      </c>
      <c r="F11" s="11">
        <f t="shared" si="9"/>
        <v>85700</v>
      </c>
      <c r="G11" s="11">
        <f>0.8*8*10*350</f>
        <v>22400</v>
      </c>
      <c r="H11" s="11">
        <f>8*10*350*0.1+950*4</f>
        <v>6600</v>
      </c>
      <c r="I11" s="11">
        <f>I7</f>
        <v>5890</v>
      </c>
      <c r="J11" s="11">
        <v>720</v>
      </c>
      <c r="K11" s="11">
        <v>0</v>
      </c>
      <c r="L11" s="11">
        <v>3600</v>
      </c>
      <c r="M11" s="11">
        <f>121158/15</f>
        <v>8077.2</v>
      </c>
      <c r="N11" s="11">
        <f t="shared" si="2"/>
        <v>132987.2</v>
      </c>
      <c r="O11" s="11">
        <f t="shared" si="3"/>
        <v>43612.8</v>
      </c>
      <c r="P11" s="20">
        <v>0.1</v>
      </c>
      <c r="Q11" s="11">
        <f t="shared" si="4"/>
        <v>13298.72</v>
      </c>
      <c r="R11" s="11">
        <f t="shared" si="5"/>
        <v>5298</v>
      </c>
      <c r="S11" s="11">
        <f t="shared" si="6"/>
        <v>17660</v>
      </c>
      <c r="T11" s="26">
        <f t="shared" si="7"/>
        <v>7356.07999999999</v>
      </c>
      <c r="U11" s="26">
        <f t="shared" si="8"/>
        <v>613.006666666666</v>
      </c>
      <c r="V11" s="27"/>
    </row>
    <row r="12" s="4" customFormat="1" ht="16" customHeight="1" spans="1:22">
      <c r="A12" s="8">
        <v>8</v>
      </c>
      <c r="B12" s="10" t="s">
        <v>19</v>
      </c>
      <c r="C12" s="11">
        <f>18*74.5%*20*2*350</f>
        <v>187740</v>
      </c>
      <c r="D12" s="11">
        <f>127657/5</f>
        <v>25531.4</v>
      </c>
      <c r="E12" s="11">
        <f t="shared" si="0"/>
        <v>213271.4</v>
      </c>
      <c r="F12" s="11">
        <f t="shared" si="9"/>
        <v>85700</v>
      </c>
      <c r="G12" s="11">
        <f>0.8*51*2*350</f>
        <v>28560</v>
      </c>
      <c r="H12" s="11">
        <f>51*2*350*0.1+950*4</f>
        <v>7370</v>
      </c>
      <c r="I12" s="11">
        <f>310*19</f>
        <v>5890</v>
      </c>
      <c r="J12" s="11">
        <v>720</v>
      </c>
      <c r="K12" s="11">
        <f t="shared" ref="K12:K15" si="12">C12*80%*8%/2</f>
        <v>6007.68</v>
      </c>
      <c r="L12" s="11">
        <v>3600</v>
      </c>
      <c r="M12" s="11">
        <f>278280.341880342/15</f>
        <v>18552.0227920228</v>
      </c>
      <c r="N12" s="11">
        <f t="shared" si="2"/>
        <v>156399.702792023</v>
      </c>
      <c r="O12" s="11">
        <f t="shared" si="3"/>
        <v>56871.6972079772</v>
      </c>
      <c r="P12" s="20">
        <v>0.1</v>
      </c>
      <c r="Q12" s="11">
        <f t="shared" si="4"/>
        <v>15639.9702792023</v>
      </c>
      <c r="R12" s="11">
        <f t="shared" si="5"/>
        <v>6398.142</v>
      </c>
      <c r="S12" s="11">
        <f t="shared" si="6"/>
        <v>21327.14</v>
      </c>
      <c r="T12" s="26">
        <f t="shared" si="7"/>
        <v>13506.4449287749</v>
      </c>
      <c r="U12" s="26">
        <f t="shared" si="8"/>
        <v>1125.53707739791</v>
      </c>
      <c r="V12" s="27"/>
    </row>
    <row r="13" s="4" customFormat="1" ht="16" customHeight="1" spans="1:22">
      <c r="A13" s="8">
        <v>9</v>
      </c>
      <c r="B13" s="10" t="s">
        <v>22</v>
      </c>
      <c r="C13" s="11">
        <f>18*11*78%*4*350</f>
        <v>216216</v>
      </c>
      <c r="D13" s="11">
        <v>24000</v>
      </c>
      <c r="E13" s="11">
        <f t="shared" si="0"/>
        <v>240216</v>
      </c>
      <c r="F13" s="11">
        <f t="shared" ref="F13:F17" si="13">180*365+20000+2000</f>
        <v>87700</v>
      </c>
      <c r="G13" s="11">
        <f>0.8*54*4*350</f>
        <v>60480</v>
      </c>
      <c r="H13" s="11">
        <f>54*4*350*0.1+950*4</f>
        <v>11360</v>
      </c>
      <c r="I13" s="11">
        <f>310*19</f>
        <v>5890</v>
      </c>
      <c r="J13" s="11">
        <v>720</v>
      </c>
      <c r="K13" s="11">
        <f>300*12</f>
        <v>3600</v>
      </c>
      <c r="L13" s="11">
        <v>3600</v>
      </c>
      <c r="M13" s="11">
        <f>85066.6666666667/15</f>
        <v>5671.11111111111</v>
      </c>
      <c r="N13" s="11">
        <f t="shared" si="2"/>
        <v>179021.111111111</v>
      </c>
      <c r="O13" s="11">
        <f t="shared" si="3"/>
        <v>61194.8888888889</v>
      </c>
      <c r="P13" s="20">
        <v>0.1</v>
      </c>
      <c r="Q13" s="11">
        <f t="shared" si="4"/>
        <v>17902.1111111111</v>
      </c>
      <c r="R13" s="11">
        <f t="shared" si="5"/>
        <v>7206.48</v>
      </c>
      <c r="S13" s="11">
        <f t="shared" si="6"/>
        <v>24021.6</v>
      </c>
      <c r="T13" s="26">
        <f t="shared" si="7"/>
        <v>12064.6977777778</v>
      </c>
      <c r="U13" s="26">
        <f t="shared" si="8"/>
        <v>1005.39148148148</v>
      </c>
      <c r="V13" s="29"/>
    </row>
    <row r="14" s="4" customFormat="1" ht="16" customHeight="1" spans="1:22">
      <c r="A14" s="8">
        <v>10</v>
      </c>
      <c r="B14" s="10" t="s">
        <v>43</v>
      </c>
      <c r="C14" s="11">
        <f>20*13*2.67*81%*350</f>
        <v>196805.7</v>
      </c>
      <c r="D14" s="11">
        <f>129600/5</f>
        <v>25920</v>
      </c>
      <c r="E14" s="11">
        <f t="shared" si="0"/>
        <v>222725.7</v>
      </c>
      <c r="F14" s="11">
        <f t="shared" si="13"/>
        <v>87700</v>
      </c>
      <c r="G14" s="11">
        <f>0.85*52*2.67*350</f>
        <v>41304.9</v>
      </c>
      <c r="H14" s="11">
        <f>52*2.67*350*0.105+950*4</f>
        <v>8902.37</v>
      </c>
      <c r="I14" s="11">
        <f>310*20.3</f>
        <v>6293</v>
      </c>
      <c r="J14" s="11">
        <v>720</v>
      </c>
      <c r="K14" s="11">
        <f t="shared" si="12"/>
        <v>6297.7824</v>
      </c>
      <c r="L14" s="11">
        <v>4000</v>
      </c>
      <c r="M14" s="11">
        <f>144405/15</f>
        <v>9627</v>
      </c>
      <c r="N14" s="11">
        <f t="shared" si="2"/>
        <v>164845.0524</v>
      </c>
      <c r="O14" s="11">
        <f t="shared" si="3"/>
        <v>57880.6476</v>
      </c>
      <c r="P14" s="20">
        <v>0.1</v>
      </c>
      <c r="Q14" s="11">
        <f t="shared" si="4"/>
        <v>16484.50524</v>
      </c>
      <c r="R14" s="11">
        <f t="shared" si="5"/>
        <v>6681.771</v>
      </c>
      <c r="S14" s="11">
        <f t="shared" si="6"/>
        <v>22272.57</v>
      </c>
      <c r="T14" s="26">
        <f t="shared" si="7"/>
        <v>12441.80136</v>
      </c>
      <c r="U14" s="26">
        <f t="shared" si="8"/>
        <v>1036.81678</v>
      </c>
      <c r="V14" s="27"/>
    </row>
    <row r="15" s="4" customFormat="1" ht="16" customHeight="1" spans="1:22">
      <c r="A15" s="8">
        <v>11</v>
      </c>
      <c r="B15" s="10" t="s">
        <v>47</v>
      </c>
      <c r="C15" s="11">
        <f>23*76.5%*14*2.5*350</f>
        <v>215538.75</v>
      </c>
      <c r="D15" s="11">
        <f>(D10+D13)/2</f>
        <v>28200</v>
      </c>
      <c r="E15" s="11">
        <f t="shared" si="0"/>
        <v>243738.75</v>
      </c>
      <c r="F15" s="11">
        <f>190*365+20000+2400</f>
        <v>91750</v>
      </c>
      <c r="G15" s="11">
        <f>0.9*57*2.5*350</f>
        <v>44887.5</v>
      </c>
      <c r="H15" s="11">
        <f>57*2.5*350*0.11+950*4</f>
        <v>9286.25</v>
      </c>
      <c r="I15" s="12">
        <f>(I10+I11)/2</f>
        <v>8759.5</v>
      </c>
      <c r="J15" s="12">
        <v>720</v>
      </c>
      <c r="K15" s="11">
        <f t="shared" si="12"/>
        <v>6897.24</v>
      </c>
      <c r="L15" s="12">
        <v>4800</v>
      </c>
      <c r="M15" s="12">
        <f>203925/15</f>
        <v>13595</v>
      </c>
      <c r="N15" s="11">
        <f t="shared" si="2"/>
        <v>180695.49</v>
      </c>
      <c r="O15" s="11">
        <f t="shared" si="3"/>
        <v>63043.26</v>
      </c>
      <c r="P15" s="20">
        <v>0.1</v>
      </c>
      <c r="Q15" s="11">
        <f t="shared" si="4"/>
        <v>18069.549</v>
      </c>
      <c r="R15" s="11">
        <f t="shared" si="5"/>
        <v>7312.1625</v>
      </c>
      <c r="S15" s="11">
        <f t="shared" si="6"/>
        <v>24373.875</v>
      </c>
      <c r="T15" s="26">
        <f t="shared" si="7"/>
        <v>13287.6735</v>
      </c>
      <c r="U15" s="26">
        <f t="shared" si="8"/>
        <v>1107.306125</v>
      </c>
      <c r="V15" s="27"/>
    </row>
    <row r="16" s="4" customFormat="1" ht="16" customHeight="1" spans="1:22">
      <c r="A16" s="8">
        <v>12</v>
      </c>
      <c r="B16" s="10" t="s">
        <v>56</v>
      </c>
      <c r="C16" s="11">
        <f>18*10*55.5%*6*350</f>
        <v>209790</v>
      </c>
      <c r="D16" s="11">
        <f>112774/5</f>
        <v>22554.8</v>
      </c>
      <c r="E16" s="11">
        <f t="shared" si="0"/>
        <v>232344.8</v>
      </c>
      <c r="F16" s="11">
        <f>180*365+22000</f>
        <v>87700</v>
      </c>
      <c r="G16" s="11">
        <f>0.8*35*6*350</f>
        <v>58800</v>
      </c>
      <c r="H16" s="11">
        <f>35*6*350*0.1+950*4</f>
        <v>11150</v>
      </c>
      <c r="I16" s="11">
        <v>5890</v>
      </c>
      <c r="J16" s="11">
        <v>720</v>
      </c>
      <c r="K16" s="11">
        <v>3600</v>
      </c>
      <c r="L16" s="11">
        <v>3600</v>
      </c>
      <c r="M16" s="11">
        <f>82895.7264957265/15</f>
        <v>5526.38176638177</v>
      </c>
      <c r="N16" s="11">
        <f t="shared" si="2"/>
        <v>176986.381766382</v>
      </c>
      <c r="O16" s="11">
        <f t="shared" si="3"/>
        <v>55358.4182336183</v>
      </c>
      <c r="P16" s="20">
        <v>0.1</v>
      </c>
      <c r="Q16" s="11">
        <f t="shared" si="4"/>
        <v>17698.6381766382</v>
      </c>
      <c r="R16" s="11">
        <f t="shared" si="5"/>
        <v>6970.344</v>
      </c>
      <c r="S16" s="11">
        <f t="shared" si="6"/>
        <v>23234.48</v>
      </c>
      <c r="T16" s="26">
        <f t="shared" si="7"/>
        <v>7454.95605698007</v>
      </c>
      <c r="U16" s="26">
        <f t="shared" si="8"/>
        <v>621.246338081673</v>
      </c>
      <c r="V16" s="27"/>
    </row>
    <row r="17" s="4" customFormat="1" ht="16" customHeight="1" spans="1:22">
      <c r="A17" s="8">
        <v>13</v>
      </c>
      <c r="B17" s="10" t="s">
        <v>59</v>
      </c>
      <c r="C17" s="11">
        <f>18*5*63%*8*350+40000*50%</f>
        <v>178760</v>
      </c>
      <c r="D17" s="11">
        <f>129200/5</f>
        <v>25840</v>
      </c>
      <c r="E17" s="11">
        <f t="shared" si="0"/>
        <v>204600</v>
      </c>
      <c r="F17" s="11">
        <f t="shared" si="13"/>
        <v>87700</v>
      </c>
      <c r="G17" s="11">
        <f>0.8*18*8*350</f>
        <v>40320</v>
      </c>
      <c r="H17" s="11">
        <f>18*8*350*0.1+950*4</f>
        <v>8840</v>
      </c>
      <c r="I17" s="11">
        <v>5890</v>
      </c>
      <c r="J17" s="11">
        <v>720</v>
      </c>
      <c r="K17" s="11">
        <v>720</v>
      </c>
      <c r="L17" s="11">
        <v>3600</v>
      </c>
      <c r="M17" s="11">
        <f>87237.6068376068/15</f>
        <v>5815.84045584045</v>
      </c>
      <c r="N17" s="11">
        <f t="shared" si="2"/>
        <v>153605.84045584</v>
      </c>
      <c r="O17" s="11">
        <f t="shared" si="3"/>
        <v>50994.1595441595</v>
      </c>
      <c r="P17" s="20">
        <v>0.1</v>
      </c>
      <c r="Q17" s="11">
        <f t="shared" si="4"/>
        <v>15360.584045584</v>
      </c>
      <c r="R17" s="11">
        <f t="shared" si="5"/>
        <v>6138</v>
      </c>
      <c r="S17" s="11">
        <f t="shared" si="6"/>
        <v>20460</v>
      </c>
      <c r="T17" s="26">
        <f t="shared" si="7"/>
        <v>9035.5754985755</v>
      </c>
      <c r="U17" s="26">
        <f t="shared" si="8"/>
        <v>752.964624881291</v>
      </c>
      <c r="V17" s="27"/>
    </row>
    <row r="18" s="4" customFormat="1" ht="16" customHeight="1" spans="1:22">
      <c r="A18" s="8">
        <v>14</v>
      </c>
      <c r="B18" s="10" t="s">
        <v>68</v>
      </c>
      <c r="C18" s="11">
        <f>18*20*80%*2*350</f>
        <v>201600</v>
      </c>
      <c r="D18" s="11">
        <f>(19111+30514+29000+18335+30571)/5</f>
        <v>25506.2</v>
      </c>
      <c r="E18" s="11">
        <f t="shared" si="0"/>
        <v>227106.2</v>
      </c>
      <c r="F18" s="11">
        <f>200*365+25000</f>
        <v>98000</v>
      </c>
      <c r="G18" s="11">
        <f>0.8*75*2*350</f>
        <v>42000</v>
      </c>
      <c r="H18" s="11">
        <f>75*2*350*0.12+950*4</f>
        <v>10100</v>
      </c>
      <c r="I18" s="11">
        <v>5890</v>
      </c>
      <c r="J18" s="12">
        <v>720</v>
      </c>
      <c r="K18" s="12">
        <v>0</v>
      </c>
      <c r="L18" s="12">
        <v>3600</v>
      </c>
      <c r="M18" s="12">
        <f>106776.068376068/15</f>
        <v>7118.40455840453</v>
      </c>
      <c r="N18" s="11">
        <f t="shared" si="2"/>
        <v>167428.404558405</v>
      </c>
      <c r="O18" s="11">
        <f t="shared" si="3"/>
        <v>59677.7954415955</v>
      </c>
      <c r="P18" s="20">
        <v>0.1</v>
      </c>
      <c r="Q18" s="11">
        <f t="shared" si="4"/>
        <v>16742.8404558405</v>
      </c>
      <c r="R18" s="11">
        <f t="shared" si="5"/>
        <v>6813.186</v>
      </c>
      <c r="S18" s="11">
        <f t="shared" si="6"/>
        <v>22710.62</v>
      </c>
      <c r="T18" s="26">
        <f t="shared" si="7"/>
        <v>13411.148985755</v>
      </c>
      <c r="U18" s="26">
        <f t="shared" si="8"/>
        <v>1117.59574881292</v>
      </c>
      <c r="V18" s="27"/>
    </row>
    <row r="19" s="4" customFormat="1" ht="14" customHeight="1" spans="1:22">
      <c r="A19" s="8">
        <v>15</v>
      </c>
      <c r="B19" s="10" t="s">
        <v>71</v>
      </c>
      <c r="C19" s="11">
        <f>28*12*88%*2*350</f>
        <v>206976</v>
      </c>
      <c r="D19" s="11">
        <f>D10</f>
        <v>32400</v>
      </c>
      <c r="E19" s="11">
        <f t="shared" si="0"/>
        <v>239376</v>
      </c>
      <c r="F19" s="12">
        <f>200*365+21000</f>
        <v>94000</v>
      </c>
      <c r="G19" s="11">
        <f>1*59*2*350</f>
        <v>41300</v>
      </c>
      <c r="H19" s="11">
        <f>59*2*350*0.12+950*4</f>
        <v>8756</v>
      </c>
      <c r="I19" s="12">
        <f>401*29</f>
        <v>11629</v>
      </c>
      <c r="J19" s="12">
        <v>720</v>
      </c>
      <c r="K19" s="12">
        <v>0</v>
      </c>
      <c r="L19" s="12">
        <v>6000</v>
      </c>
      <c r="M19" s="12">
        <f>228348.717948718/15</f>
        <v>15223.2478632479</v>
      </c>
      <c r="N19" s="11">
        <f t="shared" si="2"/>
        <v>177628.247863248</v>
      </c>
      <c r="O19" s="11">
        <f t="shared" si="3"/>
        <v>61747.7521367521</v>
      </c>
      <c r="P19" s="20">
        <v>0.1</v>
      </c>
      <c r="Q19" s="11">
        <f t="shared" si="4"/>
        <v>17762.8247863248</v>
      </c>
      <c r="R19" s="11">
        <f t="shared" si="5"/>
        <v>7181.28</v>
      </c>
      <c r="S19" s="11">
        <f t="shared" si="6"/>
        <v>23937.6</v>
      </c>
      <c r="T19" s="26">
        <f t="shared" si="7"/>
        <v>12866.0473504273</v>
      </c>
      <c r="U19" s="26">
        <f t="shared" si="8"/>
        <v>1072.17061253561</v>
      </c>
      <c r="V19" s="12"/>
    </row>
    <row r="20" s="4" customFormat="1" ht="16" customHeight="1" spans="1:22">
      <c r="A20" s="8">
        <v>16</v>
      </c>
      <c r="B20" s="10" t="s">
        <v>127</v>
      </c>
      <c r="C20" s="13">
        <f>18*5*73%*6*350</f>
        <v>137970</v>
      </c>
      <c r="D20" s="13">
        <v>25000</v>
      </c>
      <c r="E20" s="13">
        <f t="shared" si="0"/>
        <v>162970</v>
      </c>
      <c r="F20" s="12">
        <f>180*365+20000</f>
        <v>85700</v>
      </c>
      <c r="G20" s="11">
        <f>0.8*14*4*350</f>
        <v>15680</v>
      </c>
      <c r="H20" s="11">
        <f>14*4*350*0.1+950*4</f>
        <v>5760</v>
      </c>
      <c r="I20" s="13">
        <f>I18</f>
        <v>5890</v>
      </c>
      <c r="J20" s="13">
        <v>720</v>
      </c>
      <c r="K20" s="13">
        <v>0</v>
      </c>
      <c r="L20" s="21">
        <v>3600</v>
      </c>
      <c r="M20" s="21">
        <f>98364.6017699115/15</f>
        <v>6557.6401179941</v>
      </c>
      <c r="N20" s="21">
        <f t="shared" si="2"/>
        <v>123907.640117994</v>
      </c>
      <c r="O20" s="21">
        <f t="shared" si="3"/>
        <v>39062.3598820059</v>
      </c>
      <c r="P20" s="20">
        <v>0.1</v>
      </c>
      <c r="Q20" s="11">
        <f t="shared" si="4"/>
        <v>12390.7640117994</v>
      </c>
      <c r="R20" s="11">
        <f t="shared" si="5"/>
        <v>4889.1</v>
      </c>
      <c r="S20" s="11">
        <f t="shared" si="6"/>
        <v>16297</v>
      </c>
      <c r="T20" s="26">
        <f t="shared" si="7"/>
        <v>5485.49587020652</v>
      </c>
      <c r="U20" s="26">
        <f t="shared" si="8"/>
        <v>457.124655850543</v>
      </c>
      <c r="V20" s="27"/>
    </row>
    <row r="21" s="4" customFormat="1" ht="16" customHeight="1" spans="1:22">
      <c r="A21" s="8">
        <v>17</v>
      </c>
      <c r="B21" s="10" t="s">
        <v>91</v>
      </c>
      <c r="C21" s="11">
        <f>4*18*92%*5*350</f>
        <v>115920</v>
      </c>
      <c r="D21" s="11">
        <f>130000/5</f>
        <v>26000</v>
      </c>
      <c r="E21" s="11">
        <f t="shared" si="0"/>
        <v>141920</v>
      </c>
      <c r="F21" s="12">
        <f>150*365+18000</f>
        <v>72750</v>
      </c>
      <c r="G21" s="11">
        <f>0.8*11*4*350</f>
        <v>12320</v>
      </c>
      <c r="H21" s="11">
        <f>11*4*350*0.1+950*4</f>
        <v>5340</v>
      </c>
      <c r="I21" s="11">
        <f t="shared" ref="I21:I23" si="14">I20</f>
        <v>5890</v>
      </c>
      <c r="J21" s="11">
        <v>720</v>
      </c>
      <c r="K21" s="11">
        <v>0</v>
      </c>
      <c r="L21" s="11">
        <v>3600</v>
      </c>
      <c r="M21" s="11">
        <f>87237.6068376068/15</f>
        <v>5815.84045584045</v>
      </c>
      <c r="N21" s="11">
        <f t="shared" si="2"/>
        <v>106435.84045584</v>
      </c>
      <c r="O21" s="11">
        <f t="shared" si="3"/>
        <v>35484.1595441595</v>
      </c>
      <c r="P21" s="20">
        <v>0.1</v>
      </c>
      <c r="Q21" s="11">
        <f t="shared" si="4"/>
        <v>10643.584045584</v>
      </c>
      <c r="R21" s="11">
        <f t="shared" si="5"/>
        <v>4257.6</v>
      </c>
      <c r="S21" s="11">
        <f t="shared" si="6"/>
        <v>14192</v>
      </c>
      <c r="T21" s="26">
        <f t="shared" si="7"/>
        <v>6390.9754985755</v>
      </c>
      <c r="U21" s="26">
        <f t="shared" si="8"/>
        <v>532.581291547958</v>
      </c>
      <c r="V21" s="12"/>
    </row>
    <row r="22" s="4" customFormat="1" ht="16" customHeight="1" spans="1:22">
      <c r="A22" s="8">
        <v>18</v>
      </c>
      <c r="B22" s="10" t="s">
        <v>113</v>
      </c>
      <c r="C22" s="11">
        <f>18*4*13*55.3%*350</f>
        <v>181162.8</v>
      </c>
      <c r="D22" s="11">
        <f>127800/5</f>
        <v>25560</v>
      </c>
      <c r="E22" s="11">
        <f t="shared" si="0"/>
        <v>206722.8</v>
      </c>
      <c r="F22" s="12">
        <f>170*365+18000</f>
        <v>80050</v>
      </c>
      <c r="G22" s="11">
        <f>0.8*12*13*350</f>
        <v>43680</v>
      </c>
      <c r="H22" s="11">
        <f>12*13*350*0.1+950*4</f>
        <v>9260</v>
      </c>
      <c r="I22" s="11">
        <f t="shared" si="14"/>
        <v>5890</v>
      </c>
      <c r="J22" s="11">
        <v>720</v>
      </c>
      <c r="K22" s="11">
        <f>10000/2</f>
        <v>5000</v>
      </c>
      <c r="L22" s="11">
        <f t="shared" ref="L22:L27" si="15">L21</f>
        <v>3600</v>
      </c>
      <c r="M22" s="11">
        <f t="shared" ref="M22:M26" si="16">98092.3076923077/15</f>
        <v>6539.48717948718</v>
      </c>
      <c r="N22" s="11">
        <f t="shared" si="2"/>
        <v>154739.487179487</v>
      </c>
      <c r="O22" s="11">
        <f t="shared" si="3"/>
        <v>51983.3128205128</v>
      </c>
      <c r="P22" s="20">
        <v>0.1</v>
      </c>
      <c r="Q22" s="11">
        <f t="shared" si="4"/>
        <v>15473.9487179487</v>
      </c>
      <c r="R22" s="11">
        <f t="shared" si="5"/>
        <v>6201.684</v>
      </c>
      <c r="S22" s="11">
        <f t="shared" si="6"/>
        <v>20672.28</v>
      </c>
      <c r="T22" s="26">
        <f t="shared" si="7"/>
        <v>9635.40010256408</v>
      </c>
      <c r="U22" s="26">
        <f t="shared" si="8"/>
        <v>802.950008547007</v>
      </c>
      <c r="V22" s="27"/>
    </row>
    <row r="23" s="4" customFormat="1" ht="16" customHeight="1" spans="1:22">
      <c r="A23" s="8">
        <v>19</v>
      </c>
      <c r="B23" s="10" t="s">
        <v>110</v>
      </c>
      <c r="C23" s="11">
        <f>18*6*8*56.82%*350</f>
        <v>171823.68</v>
      </c>
      <c r="D23" s="11">
        <f>128000/5</f>
        <v>25600</v>
      </c>
      <c r="E23" s="11">
        <f t="shared" si="0"/>
        <v>197423.68</v>
      </c>
      <c r="F23" s="12">
        <f>F22</f>
        <v>80050</v>
      </c>
      <c r="G23" s="11">
        <f>0.8*19*8*350</f>
        <v>42560</v>
      </c>
      <c r="H23" s="11">
        <f>19*8*350*0.1+950*4</f>
        <v>9120</v>
      </c>
      <c r="I23" s="11">
        <f t="shared" si="14"/>
        <v>5890</v>
      </c>
      <c r="J23" s="11">
        <v>720</v>
      </c>
      <c r="K23" s="11">
        <v>0</v>
      </c>
      <c r="L23" s="11">
        <v>3600</v>
      </c>
      <c r="M23" s="11">
        <f t="shared" si="16"/>
        <v>6539.48717948718</v>
      </c>
      <c r="N23" s="11">
        <f t="shared" si="2"/>
        <v>148479.487179487</v>
      </c>
      <c r="O23" s="11">
        <f t="shared" si="3"/>
        <v>48944.1928205128</v>
      </c>
      <c r="P23" s="20">
        <v>0.1</v>
      </c>
      <c r="Q23" s="11">
        <f t="shared" si="4"/>
        <v>14847.9487179487</v>
      </c>
      <c r="R23" s="11">
        <f t="shared" si="5"/>
        <v>5922.7104</v>
      </c>
      <c r="S23" s="11">
        <f t="shared" si="6"/>
        <v>19742.368</v>
      </c>
      <c r="T23" s="26">
        <f t="shared" si="7"/>
        <v>8431.16570256409</v>
      </c>
      <c r="U23" s="26">
        <f t="shared" si="8"/>
        <v>702.59714188034</v>
      </c>
      <c r="V23" s="27"/>
    </row>
    <row r="24" s="4" customFormat="1" ht="16" customHeight="1" spans="1:22">
      <c r="A24" s="8">
        <v>20</v>
      </c>
      <c r="B24" s="10" t="s">
        <v>116</v>
      </c>
      <c r="C24" s="11">
        <f>18*4*8*64.5%*350</f>
        <v>130032</v>
      </c>
      <c r="D24" s="11">
        <f>128000/5</f>
        <v>25600</v>
      </c>
      <c r="E24" s="11">
        <f t="shared" si="0"/>
        <v>155632</v>
      </c>
      <c r="F24" s="12">
        <f>F23</f>
        <v>80050</v>
      </c>
      <c r="G24" s="11">
        <f>0.8*6*8*350</f>
        <v>13440</v>
      </c>
      <c r="H24" s="11">
        <f>6*8*350*0.1+950*4</f>
        <v>5480</v>
      </c>
      <c r="I24" s="11">
        <f>I22</f>
        <v>5890</v>
      </c>
      <c r="J24" s="11">
        <v>720</v>
      </c>
      <c r="K24" s="11">
        <v>0</v>
      </c>
      <c r="L24" s="11">
        <v>3600</v>
      </c>
      <c r="M24" s="11">
        <f t="shared" si="16"/>
        <v>6539.48717948718</v>
      </c>
      <c r="N24" s="11">
        <f t="shared" si="2"/>
        <v>115719.487179487</v>
      </c>
      <c r="O24" s="11">
        <f t="shared" si="3"/>
        <v>39912.5128205128</v>
      </c>
      <c r="P24" s="20">
        <v>0.1</v>
      </c>
      <c r="Q24" s="11">
        <f t="shared" si="4"/>
        <v>11571.9487179487</v>
      </c>
      <c r="R24" s="11">
        <f t="shared" si="5"/>
        <v>4668.96</v>
      </c>
      <c r="S24" s="11">
        <f t="shared" si="6"/>
        <v>15563.2</v>
      </c>
      <c r="T24" s="26">
        <f t="shared" si="7"/>
        <v>8108.40410256409</v>
      </c>
      <c r="U24" s="26">
        <f t="shared" si="8"/>
        <v>675.700341880341</v>
      </c>
      <c r="V24" s="27"/>
    </row>
    <row r="25" s="4" customFormat="1" ht="16" customHeight="1" spans="1:22">
      <c r="A25" s="8">
        <v>21</v>
      </c>
      <c r="B25" s="10" t="s">
        <v>119</v>
      </c>
      <c r="C25" s="11">
        <f>18*8*4*62.5%*350</f>
        <v>126000</v>
      </c>
      <c r="D25" s="11">
        <f>101300/5</f>
        <v>20260</v>
      </c>
      <c r="E25" s="11">
        <f t="shared" si="0"/>
        <v>146260</v>
      </c>
      <c r="F25" s="12">
        <f t="shared" ref="F25:F28" si="17">150*365+15000</f>
        <v>69750</v>
      </c>
      <c r="G25" s="11">
        <f>0.8*4*15*350</f>
        <v>16800</v>
      </c>
      <c r="H25" s="11">
        <f>4*15*350*0.1+950*4</f>
        <v>5900</v>
      </c>
      <c r="I25" s="11">
        <f t="shared" ref="I25:I27" si="18">I24</f>
        <v>5890</v>
      </c>
      <c r="J25" s="11">
        <v>720</v>
      </c>
      <c r="K25" s="11">
        <v>0</v>
      </c>
      <c r="L25" s="11">
        <v>3600</v>
      </c>
      <c r="M25" s="11">
        <f t="shared" si="16"/>
        <v>6539.48717948718</v>
      </c>
      <c r="N25" s="11">
        <f t="shared" si="2"/>
        <v>109199.487179487</v>
      </c>
      <c r="O25" s="11">
        <f t="shared" si="3"/>
        <v>37060.5128205128</v>
      </c>
      <c r="P25" s="20">
        <v>0.1</v>
      </c>
      <c r="Q25" s="11">
        <f t="shared" si="4"/>
        <v>10919.9487179487</v>
      </c>
      <c r="R25" s="11">
        <f t="shared" si="5"/>
        <v>4387.8</v>
      </c>
      <c r="S25" s="11">
        <f t="shared" si="6"/>
        <v>14626</v>
      </c>
      <c r="T25" s="26">
        <f t="shared" si="7"/>
        <v>7126.7641025641</v>
      </c>
      <c r="U25" s="26">
        <f t="shared" si="8"/>
        <v>593.897008547008</v>
      </c>
      <c r="V25" s="27"/>
    </row>
    <row r="26" s="4" customFormat="1" ht="16" customHeight="1" spans="1:22">
      <c r="A26" s="8">
        <v>22</v>
      </c>
      <c r="B26" s="14" t="s">
        <v>94</v>
      </c>
      <c r="C26" s="11">
        <f>18*66%*6*5*350</f>
        <v>124740</v>
      </c>
      <c r="D26" s="15">
        <f>125800/5</f>
        <v>25160</v>
      </c>
      <c r="E26" s="11">
        <f t="shared" si="0"/>
        <v>149900</v>
      </c>
      <c r="F26" s="12">
        <f t="shared" si="17"/>
        <v>69750</v>
      </c>
      <c r="G26" s="11">
        <f>0.8*12*6*350</f>
        <v>20160</v>
      </c>
      <c r="H26" s="11">
        <f>12*6*350*0.1+950*4</f>
        <v>6320</v>
      </c>
      <c r="I26" s="11">
        <f t="shared" si="18"/>
        <v>5890</v>
      </c>
      <c r="J26" s="11">
        <v>720</v>
      </c>
      <c r="K26" s="11">
        <v>0</v>
      </c>
      <c r="L26" s="11">
        <f t="shared" si="15"/>
        <v>3600</v>
      </c>
      <c r="M26" s="11">
        <f t="shared" si="16"/>
        <v>6539.48717948718</v>
      </c>
      <c r="N26" s="11">
        <f t="shared" si="2"/>
        <v>112979.487179487</v>
      </c>
      <c r="O26" s="11">
        <f t="shared" si="3"/>
        <v>36920.5128205128</v>
      </c>
      <c r="P26" s="20">
        <v>0.1</v>
      </c>
      <c r="Q26" s="11">
        <f t="shared" si="4"/>
        <v>11297.9487179487</v>
      </c>
      <c r="R26" s="11">
        <f t="shared" si="5"/>
        <v>4497</v>
      </c>
      <c r="S26" s="11">
        <f t="shared" si="6"/>
        <v>14990</v>
      </c>
      <c r="T26" s="26">
        <f t="shared" si="7"/>
        <v>6135.56410256409</v>
      </c>
      <c r="U26" s="26">
        <f t="shared" si="8"/>
        <v>511.297008547008</v>
      </c>
      <c r="V26" s="27"/>
    </row>
    <row r="27" s="4" customFormat="1" ht="16" customHeight="1" spans="1:22">
      <c r="A27" s="8">
        <v>23</v>
      </c>
      <c r="B27" s="10" t="s">
        <v>100</v>
      </c>
      <c r="C27" s="11">
        <f>18*8*77.5%*3*350</f>
        <v>117180</v>
      </c>
      <c r="D27" s="11">
        <v>24000</v>
      </c>
      <c r="E27" s="11">
        <f t="shared" si="0"/>
        <v>141180</v>
      </c>
      <c r="F27" s="12">
        <f t="shared" si="17"/>
        <v>69750</v>
      </c>
      <c r="G27" s="11">
        <f>0.8*7*8*350</f>
        <v>15680</v>
      </c>
      <c r="H27" s="11">
        <f>7*8*350*0.1+950*4</f>
        <v>5760</v>
      </c>
      <c r="I27" s="11">
        <f t="shared" si="18"/>
        <v>5890</v>
      </c>
      <c r="J27" s="15">
        <v>720</v>
      </c>
      <c r="K27" s="11">
        <v>0</v>
      </c>
      <c r="L27" s="11">
        <f t="shared" si="15"/>
        <v>3600</v>
      </c>
      <c r="M27" s="11">
        <f>81810.2564102564/15</f>
        <v>5454.01709401709</v>
      </c>
      <c r="N27" s="11">
        <f t="shared" si="2"/>
        <v>106854.017094017</v>
      </c>
      <c r="O27" s="11">
        <f t="shared" si="3"/>
        <v>34325.9829059829</v>
      </c>
      <c r="P27" s="20">
        <v>0.1</v>
      </c>
      <c r="Q27" s="11">
        <f t="shared" si="4"/>
        <v>10685.4017094017</v>
      </c>
      <c r="R27" s="11">
        <f t="shared" si="5"/>
        <v>4235.4</v>
      </c>
      <c r="S27" s="11">
        <f t="shared" si="6"/>
        <v>14118</v>
      </c>
      <c r="T27" s="26">
        <f t="shared" si="7"/>
        <v>5287.18119658119</v>
      </c>
      <c r="U27" s="26">
        <f t="shared" si="8"/>
        <v>440.598433048433</v>
      </c>
      <c r="V27" s="27"/>
    </row>
    <row r="28" s="4" customFormat="1" ht="16" customHeight="1" spans="1:22">
      <c r="A28" s="8">
        <v>24</v>
      </c>
      <c r="B28" s="10" t="s">
        <v>103</v>
      </c>
      <c r="C28" s="11">
        <f>18*62%*8*4*350</f>
        <v>124992</v>
      </c>
      <c r="D28" s="11">
        <f>112000/5</f>
        <v>22400</v>
      </c>
      <c r="E28" s="11">
        <f t="shared" si="0"/>
        <v>147392</v>
      </c>
      <c r="F28" s="12">
        <f t="shared" si="17"/>
        <v>69750</v>
      </c>
      <c r="G28" s="11">
        <f>0.8*8*8*350</f>
        <v>17920</v>
      </c>
      <c r="H28" s="11">
        <f>8*8*350*0.1+950*4</f>
        <v>6040</v>
      </c>
      <c r="I28" s="11">
        <v>5890</v>
      </c>
      <c r="J28" s="11">
        <v>720</v>
      </c>
      <c r="K28" s="11">
        <v>0</v>
      </c>
      <c r="L28" s="11">
        <v>3600</v>
      </c>
      <c r="M28" s="11">
        <f t="shared" ref="M28:M30" si="19">98092.3076923077/15</f>
        <v>6539.48717948718</v>
      </c>
      <c r="N28" s="11">
        <f t="shared" si="2"/>
        <v>110459.487179487</v>
      </c>
      <c r="O28" s="11">
        <f t="shared" si="3"/>
        <v>36932.5128205128</v>
      </c>
      <c r="P28" s="20">
        <v>0.1</v>
      </c>
      <c r="Q28" s="11">
        <f t="shared" si="4"/>
        <v>11045.9487179487</v>
      </c>
      <c r="R28" s="11">
        <f t="shared" si="5"/>
        <v>4421.76</v>
      </c>
      <c r="S28" s="11">
        <f t="shared" si="6"/>
        <v>14739.2</v>
      </c>
      <c r="T28" s="26">
        <f t="shared" si="7"/>
        <v>6725.60410256409</v>
      </c>
      <c r="U28" s="26">
        <f t="shared" si="8"/>
        <v>560.467008547008</v>
      </c>
      <c r="V28" s="27"/>
    </row>
    <row r="29" s="4" customFormat="1" ht="16" customHeight="1" spans="1:22">
      <c r="A29" s="8">
        <v>25</v>
      </c>
      <c r="B29" s="10" t="s">
        <v>107</v>
      </c>
      <c r="C29" s="11">
        <f>18*77.2%*8*3*350</f>
        <v>116726.4</v>
      </c>
      <c r="D29" s="11">
        <f>128000/5</f>
        <v>25600</v>
      </c>
      <c r="E29" s="11">
        <f t="shared" si="0"/>
        <v>142326.4</v>
      </c>
      <c r="F29" s="12">
        <f>F28</f>
        <v>69750</v>
      </c>
      <c r="G29" s="11">
        <f>0.8*6*8*350</f>
        <v>13440</v>
      </c>
      <c r="H29" s="11">
        <f>6*8*350*0.1+950*4</f>
        <v>5480</v>
      </c>
      <c r="I29" s="11">
        <v>5890</v>
      </c>
      <c r="J29" s="11">
        <v>720</v>
      </c>
      <c r="K29" s="11">
        <v>0</v>
      </c>
      <c r="L29" s="11">
        <v>3600</v>
      </c>
      <c r="M29" s="11">
        <f t="shared" si="19"/>
        <v>6539.48717948718</v>
      </c>
      <c r="N29" s="11">
        <f t="shared" si="2"/>
        <v>105419.487179487</v>
      </c>
      <c r="O29" s="11">
        <f t="shared" si="3"/>
        <v>36906.9128205128</v>
      </c>
      <c r="P29" s="20">
        <v>0.1</v>
      </c>
      <c r="Q29" s="11">
        <f t="shared" si="4"/>
        <v>10541.9487179487</v>
      </c>
      <c r="R29" s="11">
        <f t="shared" si="5"/>
        <v>4269.792</v>
      </c>
      <c r="S29" s="11">
        <f t="shared" si="6"/>
        <v>14232.64</v>
      </c>
      <c r="T29" s="26">
        <f t="shared" si="7"/>
        <v>7862.53210256411</v>
      </c>
      <c r="U29" s="26">
        <f t="shared" si="8"/>
        <v>655.211008547009</v>
      </c>
      <c r="V29" s="27"/>
    </row>
    <row r="30" s="4" customFormat="1" ht="16" customHeight="1" spans="1:22">
      <c r="A30" s="8">
        <v>26</v>
      </c>
      <c r="B30" s="10" t="s">
        <v>97</v>
      </c>
      <c r="C30" s="11">
        <f>18*6*71%*5*350</f>
        <v>134190</v>
      </c>
      <c r="D30" s="11">
        <v>24000</v>
      </c>
      <c r="E30" s="11">
        <f t="shared" si="0"/>
        <v>158190</v>
      </c>
      <c r="F30" s="12">
        <f>F29</f>
        <v>69750</v>
      </c>
      <c r="G30" s="11">
        <f>0.8*16*6*350</f>
        <v>26880</v>
      </c>
      <c r="H30" s="11">
        <f>16*6*350*0.1+950*4</f>
        <v>7160</v>
      </c>
      <c r="I30" s="11">
        <f>I27</f>
        <v>5890</v>
      </c>
      <c r="J30" s="11">
        <v>720</v>
      </c>
      <c r="K30" s="11">
        <v>0</v>
      </c>
      <c r="L30" s="11">
        <v>3600</v>
      </c>
      <c r="M30" s="11">
        <f t="shared" si="19"/>
        <v>6539.48717948718</v>
      </c>
      <c r="N30" s="11">
        <f t="shared" si="2"/>
        <v>120539.487179487</v>
      </c>
      <c r="O30" s="11">
        <f t="shared" si="3"/>
        <v>37650.5128205128</v>
      </c>
      <c r="P30" s="20">
        <v>0.1</v>
      </c>
      <c r="Q30" s="11">
        <f t="shared" si="4"/>
        <v>12053.9487179487</v>
      </c>
      <c r="R30" s="11">
        <f t="shared" si="5"/>
        <v>4745.7</v>
      </c>
      <c r="S30" s="11">
        <f t="shared" si="6"/>
        <v>15819</v>
      </c>
      <c r="T30" s="26">
        <f t="shared" si="7"/>
        <v>5031.86410256409</v>
      </c>
      <c r="U30" s="26">
        <f t="shared" si="8"/>
        <v>419.322008547008</v>
      </c>
      <c r="V30" s="27"/>
    </row>
    <row r="31" s="4" customFormat="1" ht="16" customHeight="1" spans="1:17">
      <c r="A31" s="6" t="s">
        <v>164</v>
      </c>
      <c r="B31" s="6"/>
      <c r="E31" s="5"/>
      <c r="O31" s="5"/>
      <c r="P31" s="5"/>
      <c r="Q31" s="5"/>
    </row>
    <row r="32" s="4" customFormat="1" spans="1:17">
      <c r="A32" s="5"/>
      <c r="B32" s="6"/>
      <c r="E32" s="5"/>
      <c r="F32" s="5" t="s">
        <v>225</v>
      </c>
      <c r="G32" s="4" t="s">
        <v>226</v>
      </c>
      <c r="H32" s="4" t="s">
        <v>227</v>
      </c>
      <c r="I32" s="4" t="s">
        <v>228</v>
      </c>
      <c r="J32" s="4">
        <f>(28+29+18)/3</f>
        <v>25</v>
      </c>
      <c r="K32" s="4" t="s">
        <v>216</v>
      </c>
      <c r="O32" s="5"/>
      <c r="P32" s="5"/>
      <c r="Q32" s="5"/>
    </row>
    <row r="33" s="4" customFormat="1" spans="1:17">
      <c r="A33" s="5"/>
      <c r="B33" s="6"/>
      <c r="E33" s="5"/>
      <c r="F33" s="5"/>
      <c r="H33" s="4" t="s">
        <v>229</v>
      </c>
      <c r="I33" s="4">
        <f>25</f>
        <v>25</v>
      </c>
      <c r="K33" s="4">
        <v>32400</v>
      </c>
      <c r="O33" s="5"/>
      <c r="P33" s="5"/>
      <c r="Q33" s="5"/>
    </row>
    <row r="34" s="4" customFormat="1" spans="1:15">
      <c r="A34" s="5"/>
      <c r="B34" s="6"/>
      <c r="C34" s="6"/>
      <c r="F34" s="5"/>
      <c r="H34" s="4" t="s">
        <v>230</v>
      </c>
      <c r="I34" s="4">
        <f>10+6</f>
        <v>16</v>
      </c>
      <c r="K34" s="4">
        <v>32400</v>
      </c>
      <c r="O34" s="22" t="s">
        <v>231</v>
      </c>
    </row>
    <row r="35" s="4" customFormat="1" spans="1:17">
      <c r="A35" s="5"/>
      <c r="B35" s="6"/>
      <c r="C35" s="6"/>
      <c r="D35" s="5"/>
      <c r="F35" s="5"/>
      <c r="H35" s="4" t="s">
        <v>232</v>
      </c>
      <c r="I35" s="4">
        <f>SUM(I33:I34)</f>
        <v>41</v>
      </c>
      <c r="K35" s="4">
        <v>24000</v>
      </c>
      <c r="O35" s="4" t="s">
        <v>233</v>
      </c>
      <c r="P35" s="4" t="s">
        <v>234</v>
      </c>
      <c r="Q35" s="4">
        <v>40000</v>
      </c>
    </row>
    <row r="36" s="4" customFormat="1" spans="1:17">
      <c r="A36" s="5"/>
      <c r="B36" s="6"/>
      <c r="C36" s="6"/>
      <c r="D36" s="5"/>
      <c r="F36" s="5"/>
      <c r="H36" s="4" t="s">
        <v>235</v>
      </c>
      <c r="I36" s="17">
        <f>I35/(28*2)</f>
        <v>0.732142857142857</v>
      </c>
      <c r="K36" s="4">
        <f>AVERAGE(K33:K35)</f>
        <v>29600</v>
      </c>
      <c r="O36" s="4" t="s">
        <v>236</v>
      </c>
      <c r="Q36" s="4">
        <v>40000</v>
      </c>
    </row>
    <row r="37" s="4" customFormat="1" spans="1:17">
      <c r="A37" s="5"/>
      <c r="B37" s="6"/>
      <c r="C37" s="6"/>
      <c r="F37" s="5"/>
      <c r="H37" s="4" t="s">
        <v>237</v>
      </c>
      <c r="I37" s="4">
        <f>28*2*80%*13*350</f>
        <v>203840</v>
      </c>
      <c r="J37" s="4" t="s">
        <v>238</v>
      </c>
      <c r="O37" s="4">
        <v>20</v>
      </c>
      <c r="Q37" s="4">
        <v>32000</v>
      </c>
    </row>
    <row r="38" s="4" customFormat="1" spans="1:17">
      <c r="A38" s="5"/>
      <c r="B38" s="6"/>
      <c r="C38" s="6"/>
      <c r="O38" s="4">
        <v>21</v>
      </c>
      <c r="Q38" s="4">
        <v>25000</v>
      </c>
    </row>
    <row r="39" s="4" customFormat="1" spans="1:20">
      <c r="A39" s="5"/>
      <c r="B39" s="6"/>
      <c r="E39" s="5"/>
      <c r="F39" s="5" t="s">
        <v>239</v>
      </c>
      <c r="G39" s="16" t="s">
        <v>240</v>
      </c>
      <c r="O39" s="4">
        <v>22</v>
      </c>
      <c r="Q39" s="4">
        <v>25000</v>
      </c>
      <c r="R39" s="4">
        <f>10*2*7</f>
        <v>140</v>
      </c>
      <c r="S39" s="4">
        <v>78</v>
      </c>
      <c r="T39" s="4">
        <f>SUM(R39:S39)</f>
        <v>218</v>
      </c>
    </row>
    <row r="40" s="4" customFormat="1" spans="1:20">
      <c r="A40" s="5"/>
      <c r="B40" s="6"/>
      <c r="E40" s="5"/>
      <c r="F40" s="5"/>
      <c r="G40" s="4" t="s">
        <v>241</v>
      </c>
      <c r="H40" s="4">
        <f>(18+8)*3</f>
        <v>78</v>
      </c>
      <c r="O40" s="4" t="s">
        <v>242</v>
      </c>
      <c r="Q40" s="4">
        <f>SUM(Q35:Q39)/5</f>
        <v>32400</v>
      </c>
      <c r="T40" s="4">
        <f>T39/360</f>
        <v>0.605555555555556</v>
      </c>
    </row>
    <row r="41" s="4" customFormat="1" spans="1:19">
      <c r="A41" s="5"/>
      <c r="B41" s="6"/>
      <c r="C41" s="4" t="s">
        <v>15</v>
      </c>
      <c r="E41" s="5"/>
      <c r="F41" s="5"/>
      <c r="G41" s="4" t="s">
        <v>243</v>
      </c>
      <c r="H41" s="4">
        <f>10*2*7</f>
        <v>140</v>
      </c>
      <c r="O41" s="5"/>
      <c r="P41" s="5"/>
      <c r="Q41" s="5"/>
      <c r="S41" s="4">
        <f>180*30*12</f>
        <v>64800</v>
      </c>
    </row>
    <row r="42" s="4" customFormat="1" spans="1:17">
      <c r="A42" s="5"/>
      <c r="B42" s="6"/>
      <c r="C42" s="4" t="s">
        <v>244</v>
      </c>
      <c r="D42" s="4" t="s">
        <v>228</v>
      </c>
      <c r="E42" s="5"/>
      <c r="F42" s="5"/>
      <c r="G42" s="4" t="s">
        <v>199</v>
      </c>
      <c r="H42" s="4">
        <f>SUM(H40:H41)</f>
        <v>218</v>
      </c>
      <c r="O42" s="5"/>
      <c r="P42" s="5"/>
      <c r="Q42" s="5"/>
    </row>
    <row r="43" s="4" customFormat="1" spans="1:19">
      <c r="A43" s="5"/>
      <c r="B43" s="6"/>
      <c r="C43" s="4" t="s">
        <v>229</v>
      </c>
      <c r="D43" s="4">
        <v>26</v>
      </c>
      <c r="E43" s="5"/>
      <c r="F43" s="5"/>
      <c r="G43" s="4" t="s">
        <v>232</v>
      </c>
      <c r="H43" s="4">
        <f>18*2*10</f>
        <v>360</v>
      </c>
      <c r="O43" s="5"/>
      <c r="P43" s="5"/>
      <c r="Q43" s="5"/>
      <c r="R43" s="4">
        <f>2375/19</f>
        <v>125</v>
      </c>
      <c r="S43" s="4">
        <f>2096/19</f>
        <v>110.315789473684</v>
      </c>
    </row>
    <row r="44" s="4" customFormat="1" spans="1:17">
      <c r="A44" s="5"/>
      <c r="B44" s="6"/>
      <c r="C44" s="4" t="s">
        <v>230</v>
      </c>
      <c r="D44" s="4">
        <f>14</f>
        <v>14</v>
      </c>
      <c r="E44" s="5"/>
      <c r="G44" s="4" t="s">
        <v>235</v>
      </c>
      <c r="H44" s="17">
        <f>H42/H43</f>
        <v>0.605555555555556</v>
      </c>
      <c r="O44" s="5"/>
      <c r="P44" s="5"/>
      <c r="Q44" s="5"/>
    </row>
    <row r="45" s="4" customFormat="1" spans="1:22">
      <c r="A45" s="5"/>
      <c r="B45" s="6"/>
      <c r="C45" s="4" t="s">
        <v>232</v>
      </c>
      <c r="D45" s="4">
        <f>SUM(D43:D44)</f>
        <v>40</v>
      </c>
      <c r="E45" s="5"/>
      <c r="G45" s="4" t="s">
        <v>237</v>
      </c>
      <c r="H45" s="4">
        <f>18*2*65%*20*350+20*1200</f>
        <v>187800</v>
      </c>
      <c r="O45" s="5"/>
      <c r="P45" s="5"/>
      <c r="Q45" s="5" t="s">
        <v>245</v>
      </c>
      <c r="R45" s="4" t="s">
        <v>246</v>
      </c>
      <c r="S45" s="4">
        <f>1834/19</f>
        <v>96.5263157894737</v>
      </c>
      <c r="T45" s="4">
        <f>2375/19</f>
        <v>125</v>
      </c>
      <c r="U45" s="4">
        <f>1649.75/19</f>
        <v>86.8289473684211</v>
      </c>
      <c r="V45" s="4">
        <f>SUM(S45:U45)</f>
        <v>308.355263157895</v>
      </c>
    </row>
    <row r="46" s="4" customFormat="1" spans="1:22">
      <c r="A46" s="5"/>
      <c r="B46" s="6"/>
      <c r="C46" s="4" t="s">
        <v>235</v>
      </c>
      <c r="D46" s="17">
        <f>D45/(28*2)</f>
        <v>0.714285714285714</v>
      </c>
      <c r="E46" s="5"/>
      <c r="G46" s="4" t="s">
        <v>247</v>
      </c>
      <c r="H46" s="4">
        <f>180*365</f>
        <v>65700</v>
      </c>
      <c r="O46" s="5"/>
      <c r="P46" s="5"/>
      <c r="Q46" s="5" t="s">
        <v>248</v>
      </c>
      <c r="R46" s="4" t="s">
        <v>246</v>
      </c>
      <c r="S46" s="4">
        <f>2736/29</f>
        <v>94.3448275862069</v>
      </c>
      <c r="T46" s="4">
        <f>5485.85/29</f>
        <v>189.16724137931</v>
      </c>
      <c r="U46" s="4">
        <f>3419.81/29</f>
        <v>117.924482758621</v>
      </c>
      <c r="V46" s="4">
        <f>SUM(S46:U46)</f>
        <v>401.436551724138</v>
      </c>
    </row>
    <row r="47" s="4" customFormat="1" spans="1:17">
      <c r="A47" s="5"/>
      <c r="B47" s="6"/>
      <c r="C47" s="4" t="s">
        <v>237</v>
      </c>
      <c r="D47" s="4">
        <f>28*2*80%*13*350</f>
        <v>203840</v>
      </c>
      <c r="E47" s="5"/>
      <c r="G47" s="4" t="s">
        <v>249</v>
      </c>
      <c r="H47" s="4">
        <f>20000</f>
        <v>20000</v>
      </c>
      <c r="O47" s="5"/>
      <c r="P47" s="5"/>
      <c r="Q47" s="5"/>
    </row>
    <row r="48" s="4" customFormat="1" spans="1:17">
      <c r="A48" s="5"/>
      <c r="B48" s="6" t="s">
        <v>250</v>
      </c>
      <c r="C48" s="5">
        <f>136</f>
        <v>136</v>
      </c>
      <c r="D48" s="4">
        <f>27*17+15*1</f>
        <v>474</v>
      </c>
      <c r="G48" s="4" t="s">
        <v>218</v>
      </c>
      <c r="H48" s="4">
        <f>8*20*0.8*350</f>
        <v>44800</v>
      </c>
      <c r="O48" s="5"/>
      <c r="P48" s="5"/>
      <c r="Q48" s="5"/>
    </row>
    <row r="49" s="4" customFormat="1" spans="1:17">
      <c r="A49" s="5"/>
      <c r="B49" s="6"/>
      <c r="C49" s="5">
        <v>90</v>
      </c>
      <c r="D49" s="4">
        <f>14*17</f>
        <v>238</v>
      </c>
      <c r="E49" s="4" t="s">
        <v>251</v>
      </c>
      <c r="G49" s="4" t="s">
        <v>219</v>
      </c>
      <c r="H49" s="4">
        <f>8*20*350*0.1</f>
        <v>5600</v>
      </c>
      <c r="O49" s="5"/>
      <c r="P49" s="5"/>
      <c r="Q49" s="5"/>
    </row>
    <row r="50" s="4" customFormat="1" spans="1:17">
      <c r="A50" s="5"/>
      <c r="B50" s="6"/>
      <c r="C50" s="5">
        <v>5</v>
      </c>
      <c r="G50" s="4" t="s">
        <v>252</v>
      </c>
      <c r="H50" s="4">
        <f>310*19</f>
        <v>5890</v>
      </c>
      <c r="O50" s="5"/>
      <c r="P50" s="5"/>
      <c r="Q50" s="5"/>
    </row>
    <row r="51" s="4" customFormat="1" spans="1:17">
      <c r="A51" s="5"/>
      <c r="B51" s="6"/>
      <c r="C51" s="5">
        <v>8</v>
      </c>
      <c r="G51" s="4" t="s">
        <v>253</v>
      </c>
      <c r="H51" s="4">
        <v>6000</v>
      </c>
      <c r="O51" s="5"/>
      <c r="P51" s="5"/>
      <c r="Q51" s="5"/>
    </row>
    <row r="52" s="4" customFormat="1" spans="1:17">
      <c r="A52" s="5"/>
      <c r="B52" s="6"/>
      <c r="C52" s="5">
        <f>SUM(C48:C51)</f>
        <v>239</v>
      </c>
      <c r="D52" s="4">
        <f>SUM(D48:D51)</f>
        <v>712</v>
      </c>
      <c r="G52" s="4" t="s">
        <v>224</v>
      </c>
      <c r="H52" s="4">
        <v>6539.49</v>
      </c>
      <c r="O52" s="5"/>
      <c r="P52" s="5"/>
      <c r="Q52" s="5"/>
    </row>
    <row r="53" s="4" customFormat="1" spans="1:17">
      <c r="A53" s="5"/>
      <c r="B53" s="18" t="s">
        <v>254</v>
      </c>
      <c r="C53" s="4">
        <f>14*17</f>
        <v>238</v>
      </c>
      <c r="E53" s="5"/>
      <c r="O53" s="5"/>
      <c r="P53" s="5"/>
      <c r="Q53" s="5"/>
    </row>
    <row r="54" s="4" customFormat="1" spans="1:17">
      <c r="A54" s="5"/>
      <c r="B54" s="6"/>
      <c r="C54" s="4">
        <f>SUM(C52:C53)</f>
        <v>477</v>
      </c>
      <c r="E54" s="5"/>
      <c r="O54" s="5"/>
      <c r="P54" s="5"/>
      <c r="Q54" s="5"/>
    </row>
    <row r="55" s="4" customFormat="1" spans="1:17">
      <c r="A55" s="5"/>
      <c r="B55" s="6" t="s">
        <v>255</v>
      </c>
      <c r="C55" s="4">
        <f>C54+D52</f>
        <v>1189</v>
      </c>
      <c r="E55" s="5"/>
      <c r="O55" s="5"/>
      <c r="P55" s="5"/>
      <c r="Q55" s="5"/>
    </row>
    <row r="56" s="4" customFormat="1" spans="1:17">
      <c r="A56" s="5"/>
      <c r="B56" s="6" t="s">
        <v>256</v>
      </c>
      <c r="C56" s="19">
        <f>C55/(28*4)</f>
        <v>10.6160714285714</v>
      </c>
      <c r="E56" s="5"/>
      <c r="F56" s="5" t="s">
        <v>257</v>
      </c>
      <c r="G56" s="16" t="s">
        <v>258</v>
      </c>
      <c r="H56" s="4" t="s">
        <v>259</v>
      </c>
      <c r="I56" s="4" t="s">
        <v>260</v>
      </c>
      <c r="O56" s="5"/>
      <c r="P56" s="5"/>
      <c r="Q56" s="5"/>
    </row>
    <row r="57" s="4" customFormat="1" spans="1:17">
      <c r="A57" s="5"/>
      <c r="B57" s="6"/>
      <c r="E57" s="5"/>
      <c r="F57" s="5"/>
      <c r="H57" s="4" t="s">
        <v>261</v>
      </c>
      <c r="I57" s="4">
        <f>(18+18)*2</f>
        <v>72</v>
      </c>
      <c r="O57" s="5"/>
      <c r="P57" s="5"/>
      <c r="Q57" s="5"/>
    </row>
    <row r="58" s="4" customFormat="1" spans="1:17">
      <c r="A58" s="5"/>
      <c r="B58" s="6"/>
      <c r="E58" s="5"/>
      <c r="F58" s="5"/>
      <c r="H58" s="4" t="s">
        <v>262</v>
      </c>
      <c r="I58" s="4">
        <f>9*2*4</f>
        <v>72</v>
      </c>
      <c r="O58" s="5"/>
      <c r="P58" s="5"/>
      <c r="Q58" s="5"/>
    </row>
    <row r="59" s="4" customFormat="1" spans="1:18">
      <c r="A59" s="5"/>
      <c r="B59" s="6"/>
      <c r="C59" s="4" t="s">
        <v>43</v>
      </c>
      <c r="E59" s="5"/>
      <c r="F59" s="5"/>
      <c r="H59" s="4" t="s">
        <v>232</v>
      </c>
      <c r="I59" s="4">
        <f>SUM(I57:I58)</f>
        <v>144</v>
      </c>
      <c r="O59" s="5"/>
      <c r="P59" s="5"/>
      <c r="Q59" s="5">
        <f>136</f>
        <v>136</v>
      </c>
      <c r="R59" s="4">
        <f>27*17+15*1</f>
        <v>474</v>
      </c>
    </row>
    <row r="60" s="4" customFormat="1" spans="1:18">
      <c r="A60" s="5"/>
      <c r="B60" s="6"/>
      <c r="C60" s="4" t="s">
        <v>263</v>
      </c>
      <c r="E60" s="5"/>
      <c r="F60" s="5"/>
      <c r="H60" s="4" t="s">
        <v>235</v>
      </c>
      <c r="I60" s="17">
        <f>I59/(18*2*6)</f>
        <v>0.666666666666667</v>
      </c>
      <c r="O60" s="5"/>
      <c r="P60" s="5"/>
      <c r="Q60" s="5">
        <v>90</v>
      </c>
      <c r="R60" s="4">
        <f>14*17</f>
        <v>238</v>
      </c>
    </row>
    <row r="61" s="4" customFormat="1" spans="1:17">
      <c r="A61" s="5"/>
      <c r="B61" s="6"/>
      <c r="C61" s="4" t="s">
        <v>259</v>
      </c>
      <c r="D61" s="4" t="s">
        <v>264</v>
      </c>
      <c r="E61" s="5"/>
      <c r="F61" s="5"/>
      <c r="H61" s="4" t="s">
        <v>237</v>
      </c>
      <c r="I61" s="4">
        <f>18*12*70%*3*350+20*1000</f>
        <v>178760</v>
      </c>
      <c r="J61" s="4" t="s">
        <v>238</v>
      </c>
      <c r="K61" s="4">
        <v>3000</v>
      </c>
      <c r="L61" s="4">
        <v>3000</v>
      </c>
      <c r="M61" s="4">
        <v>4000</v>
      </c>
      <c r="N61" s="4">
        <f>AVERAGE(K61:M61)</f>
        <v>3333.33333333333</v>
      </c>
      <c r="O61" s="5"/>
      <c r="P61" s="5"/>
      <c r="Q61" s="5">
        <v>5</v>
      </c>
    </row>
    <row r="62" s="4" customFormat="1" spans="1:17">
      <c r="A62" s="5"/>
      <c r="B62" s="6"/>
      <c r="C62" s="4" t="s">
        <v>229</v>
      </c>
      <c r="D62" s="4">
        <v>14</v>
      </c>
      <c r="E62" s="5"/>
      <c r="F62" s="5"/>
      <c r="M62" s="4" t="s">
        <v>265</v>
      </c>
      <c r="N62" s="4" t="s">
        <v>130</v>
      </c>
      <c r="O62" s="5"/>
      <c r="P62" s="5"/>
      <c r="Q62" s="5">
        <v>8</v>
      </c>
    </row>
    <row r="63" s="4" customFormat="1" spans="1:19">
      <c r="A63" s="5"/>
      <c r="B63" s="6"/>
      <c r="C63" s="4" t="s">
        <v>230</v>
      </c>
      <c r="D63" s="4">
        <v>14</v>
      </c>
      <c r="E63" s="5"/>
      <c r="F63" s="5" t="s">
        <v>266</v>
      </c>
      <c r="G63" s="4" t="s">
        <v>59</v>
      </c>
      <c r="H63" s="4" t="s">
        <v>259</v>
      </c>
      <c r="I63" s="4" t="s">
        <v>267</v>
      </c>
      <c r="K63" s="16">
        <f>1211000-129200</f>
        <v>1081800</v>
      </c>
      <c r="L63" s="4" t="s">
        <v>268</v>
      </c>
      <c r="M63" s="4">
        <v>129200</v>
      </c>
      <c r="N63" s="4">
        <f>K63+M63</f>
        <v>1211000</v>
      </c>
      <c r="O63" s="5"/>
      <c r="P63" s="5"/>
      <c r="Q63" s="5">
        <f>SUM(Q59:Q62)</f>
        <v>239</v>
      </c>
      <c r="R63" s="4">
        <f>SUM(R59:R62)</f>
        <v>712</v>
      </c>
      <c r="S63" s="4">
        <f>SUM(Q63:R63)</f>
        <v>951</v>
      </c>
    </row>
    <row r="64" s="4" customFormat="1" spans="1:17">
      <c r="A64" s="5"/>
      <c r="B64" s="6"/>
      <c r="C64" s="4" t="s">
        <v>269</v>
      </c>
      <c r="D64" s="4">
        <v>15</v>
      </c>
      <c r="E64" s="5"/>
      <c r="F64" s="5"/>
      <c r="H64" s="4" t="s">
        <v>270</v>
      </c>
      <c r="I64" s="4">
        <f>18+18</f>
        <v>36</v>
      </c>
      <c r="O64" s="5"/>
      <c r="P64" s="5"/>
      <c r="Q64" s="5"/>
    </row>
    <row r="65" s="4" customFormat="1" spans="1:17">
      <c r="A65" s="5"/>
      <c r="B65" s="6"/>
      <c r="C65" s="4" t="s">
        <v>232</v>
      </c>
      <c r="D65" s="4">
        <f>SUM(D62:D64)</f>
        <v>43</v>
      </c>
      <c r="E65" s="5"/>
      <c r="F65" s="5"/>
      <c r="H65" s="4" t="s">
        <v>271</v>
      </c>
      <c r="I65" s="4">
        <f t="shared" ref="I65:I67" si="20">14+4</f>
        <v>18</v>
      </c>
      <c r="O65" s="5"/>
      <c r="P65" s="5"/>
      <c r="Q65" s="5"/>
    </row>
    <row r="66" s="4" customFormat="1" spans="1:17">
      <c r="A66" s="5"/>
      <c r="B66" s="6"/>
      <c r="C66" s="4" t="s">
        <v>235</v>
      </c>
      <c r="D66" s="17">
        <f>D65/(18*3)</f>
        <v>0.796296296296296</v>
      </c>
      <c r="E66" s="5"/>
      <c r="H66" s="4" t="s">
        <v>272</v>
      </c>
      <c r="I66" s="4">
        <f t="shared" si="20"/>
        <v>18</v>
      </c>
      <c r="O66" s="5"/>
      <c r="P66" s="5"/>
      <c r="Q66" s="5"/>
    </row>
    <row r="67" s="4" customFormat="1" spans="1:17">
      <c r="A67" s="5"/>
      <c r="B67" s="6"/>
      <c r="C67" s="4" t="s">
        <v>237</v>
      </c>
      <c r="D67" s="4">
        <f>18*80%*3*13*350</f>
        <v>196560</v>
      </c>
      <c r="E67" s="5"/>
      <c r="H67" s="4" t="s">
        <v>273</v>
      </c>
      <c r="I67" s="4">
        <f t="shared" si="20"/>
        <v>18</v>
      </c>
      <c r="O67" s="5"/>
      <c r="P67" s="5"/>
      <c r="Q67" s="5"/>
    </row>
    <row r="68" s="4" customFormat="1" spans="1:17">
      <c r="A68" s="5"/>
      <c r="B68" s="6"/>
      <c r="D68" s="4" t="s">
        <v>274</v>
      </c>
      <c r="E68" s="5"/>
      <c r="H68" s="4" t="s">
        <v>232</v>
      </c>
      <c r="I68" s="4">
        <f>SUM(I64:I67)</f>
        <v>90</v>
      </c>
      <c r="O68" s="5"/>
      <c r="P68" s="5"/>
      <c r="Q68" s="5"/>
    </row>
    <row r="69" s="4" customFormat="1" spans="1:17">
      <c r="A69" s="5"/>
      <c r="B69" s="6"/>
      <c r="C69" s="4" t="s">
        <v>275</v>
      </c>
      <c r="D69" s="4">
        <f>18*80%*2*13*350</f>
        <v>131040</v>
      </c>
      <c r="E69" s="5"/>
      <c r="H69" s="4" t="s">
        <v>235</v>
      </c>
      <c r="I69" s="17">
        <f>I68/(18*8)</f>
        <v>0.625</v>
      </c>
      <c r="O69" s="5"/>
      <c r="P69" s="5"/>
      <c r="Q69" s="5"/>
    </row>
    <row r="70" s="4" customFormat="1" spans="1:17">
      <c r="A70" s="5"/>
      <c r="B70" s="6"/>
      <c r="C70" s="4" t="s">
        <v>276</v>
      </c>
      <c r="D70" s="4" t="s">
        <v>277</v>
      </c>
      <c r="E70" s="5"/>
      <c r="H70" s="4" t="s">
        <v>237</v>
      </c>
      <c r="I70" s="4">
        <f>18*5*65%*8*350+40000*50%</f>
        <v>183800</v>
      </c>
      <c r="O70" s="5"/>
      <c r="P70" s="5"/>
      <c r="Q70" s="5"/>
    </row>
    <row r="71" s="4" customFormat="1" spans="1:17">
      <c r="A71" s="5"/>
      <c r="B71" s="6"/>
      <c r="D71" s="4">
        <f>22*80%*3*13*350</f>
        <v>240240</v>
      </c>
      <c r="E71" s="5"/>
      <c r="O71" s="5"/>
      <c r="P71" s="5"/>
      <c r="Q71" s="5"/>
    </row>
    <row r="72" s="4" customFormat="1" spans="1:17">
      <c r="A72" s="5"/>
      <c r="B72" s="6"/>
      <c r="C72" s="4" t="s">
        <v>278</v>
      </c>
      <c r="D72" s="4">
        <f>(D67+D69+D71)/3</f>
        <v>189280</v>
      </c>
      <c r="E72" s="5"/>
      <c r="F72" s="5" t="s">
        <v>279</v>
      </c>
      <c r="G72" s="4" t="s">
        <v>34</v>
      </c>
      <c r="O72" s="5"/>
      <c r="P72" s="5"/>
      <c r="Q72" s="5"/>
    </row>
    <row r="73" s="4" customFormat="1" spans="1:17">
      <c r="A73" s="5"/>
      <c r="B73" s="4">
        <v>3600</v>
      </c>
      <c r="C73" s="4">
        <v>8000</v>
      </c>
      <c r="D73" s="4">
        <v>5500</v>
      </c>
      <c r="F73" s="5"/>
      <c r="G73" s="4" t="s">
        <v>259</v>
      </c>
      <c r="H73" s="4" t="s">
        <v>280</v>
      </c>
      <c r="J73" s="4" t="s">
        <v>281</v>
      </c>
      <c r="L73" s="4" t="s">
        <v>282</v>
      </c>
      <c r="O73" s="5"/>
      <c r="P73" s="5"/>
      <c r="Q73" s="5"/>
    </row>
    <row r="74" s="4" customFormat="1" spans="1:17">
      <c r="A74" s="5"/>
      <c r="B74" s="4">
        <v>3200</v>
      </c>
      <c r="C74" s="4">
        <v>2500</v>
      </c>
      <c r="D74" s="4">
        <v>2500</v>
      </c>
      <c r="E74" s="4" t="s">
        <v>283</v>
      </c>
      <c r="F74" s="5"/>
      <c r="G74" s="4" t="s">
        <v>229</v>
      </c>
      <c r="H74" s="4">
        <v>11</v>
      </c>
      <c r="I74" s="4">
        <f>H74*8*0.8</f>
        <v>70.4</v>
      </c>
      <c r="J74" s="4">
        <f>I74*350</f>
        <v>24640</v>
      </c>
      <c r="K74" s="4">
        <f>J74*5</f>
        <v>123200</v>
      </c>
      <c r="L74" s="16">
        <v>127000</v>
      </c>
      <c r="M74" s="4">
        <f>SUM(K74:L74)</f>
        <v>250200</v>
      </c>
      <c r="O74" s="5"/>
      <c r="P74" s="5"/>
      <c r="Q74" s="5"/>
    </row>
    <row r="75" s="4" customFormat="1" spans="1:17">
      <c r="A75" s="5"/>
      <c r="B75" s="4">
        <f>SUM(B73:B74)</f>
        <v>6800</v>
      </c>
      <c r="C75" s="4">
        <f>SUM(C73:C74)</f>
        <v>10500</v>
      </c>
      <c r="D75" s="4">
        <f>SUM(D73:D74)</f>
        <v>8000</v>
      </c>
      <c r="E75" s="4">
        <f>AVERAGE(B75:D75)</f>
        <v>8433.33333333333</v>
      </c>
      <c r="F75" s="5"/>
      <c r="G75" s="4" t="s">
        <v>230</v>
      </c>
      <c r="H75" s="4">
        <v>11</v>
      </c>
      <c r="O75" s="5"/>
      <c r="P75" s="5"/>
      <c r="Q75" s="5"/>
    </row>
    <row r="76" s="4" customFormat="1" spans="1:17">
      <c r="A76" s="5"/>
      <c r="B76" s="6"/>
      <c r="E76" s="5"/>
      <c r="F76" s="5"/>
      <c r="G76" s="4" t="s">
        <v>232</v>
      </c>
      <c r="H76" s="4">
        <f>SUM(H74:H75)</f>
        <v>22</v>
      </c>
      <c r="O76" s="5"/>
      <c r="P76" s="5"/>
      <c r="Q76" s="5"/>
    </row>
    <row r="77" s="4" customFormat="1" spans="1:17">
      <c r="A77" s="5"/>
      <c r="B77" s="6"/>
      <c r="C77" s="4" t="s">
        <v>284</v>
      </c>
      <c r="E77" s="5"/>
      <c r="F77" s="5"/>
      <c r="G77" s="4" t="s">
        <v>235</v>
      </c>
      <c r="H77" s="17">
        <f>H76/(18*2)</f>
        <v>0.611111111111111</v>
      </c>
      <c r="O77" s="5"/>
      <c r="P77" s="5"/>
      <c r="Q77" s="5"/>
    </row>
    <row r="78" s="4" customFormat="1" spans="1:17">
      <c r="A78" s="5"/>
      <c r="B78" s="6"/>
      <c r="C78" s="4" t="s">
        <v>285</v>
      </c>
      <c r="D78" s="4" t="s">
        <v>274</v>
      </c>
      <c r="E78" s="5"/>
      <c r="F78" s="5"/>
      <c r="G78" s="4" t="s">
        <v>237</v>
      </c>
      <c r="H78" s="4">
        <f>18*65%*10*2*350</f>
        <v>81900</v>
      </c>
      <c r="O78" s="5"/>
      <c r="P78" s="5"/>
      <c r="Q78" s="5"/>
    </row>
    <row r="79" s="4" customFormat="1" spans="1:17">
      <c r="A79" s="5"/>
      <c r="B79" s="6"/>
      <c r="E79" s="5"/>
      <c r="F79" s="5"/>
      <c r="O79" s="5"/>
      <c r="P79" s="5"/>
      <c r="Q79" s="5"/>
    </row>
    <row r="80" s="4" customFormat="1" spans="1:17">
      <c r="A80" s="5"/>
      <c r="B80" s="6"/>
      <c r="C80" s="4" t="s">
        <v>237</v>
      </c>
      <c r="D80" s="4">
        <f>29*78%*2*14*350</f>
        <v>221676</v>
      </c>
      <c r="E80" s="5"/>
      <c r="F80" s="5" t="s">
        <v>286</v>
      </c>
      <c r="G80" s="4" t="s">
        <v>127</v>
      </c>
      <c r="H80" s="4">
        <f>18*5*80%*4*350</f>
        <v>100800</v>
      </c>
      <c r="O80" s="5"/>
      <c r="P80" s="5"/>
      <c r="Q80" s="5"/>
    </row>
    <row r="81" s="4" customFormat="1" spans="1:17">
      <c r="A81" s="5"/>
      <c r="B81" s="6"/>
      <c r="E81" s="5"/>
      <c r="F81" s="5"/>
      <c r="O81" s="5"/>
      <c r="P81" s="5"/>
      <c r="Q81" s="5"/>
    </row>
    <row r="82" s="4" customFormat="1" spans="1:17">
      <c r="A82" s="5"/>
      <c r="B82" s="6"/>
      <c r="C82" s="4" t="s">
        <v>287</v>
      </c>
      <c r="E82" s="5"/>
      <c r="F82" s="5" t="s">
        <v>288</v>
      </c>
      <c r="G82" s="4" t="s">
        <v>91</v>
      </c>
      <c r="H82" s="4">
        <f>4*18*90%*5*350</f>
        <v>113400</v>
      </c>
      <c r="O82" s="5"/>
      <c r="P82" s="5"/>
      <c r="Q82" s="5"/>
    </row>
    <row r="83" s="4" customFormat="1" spans="1:17">
      <c r="A83" s="5"/>
      <c r="B83" s="6"/>
      <c r="C83" s="4" t="s">
        <v>259</v>
      </c>
      <c r="D83" s="4" t="s">
        <v>264</v>
      </c>
      <c r="E83" s="5"/>
      <c r="F83" s="5"/>
      <c r="O83" s="5"/>
      <c r="P83" s="5"/>
      <c r="Q83" s="5"/>
    </row>
    <row r="84" s="4" customFormat="1" spans="1:17">
      <c r="A84" s="5"/>
      <c r="B84" s="6"/>
      <c r="C84" s="4" t="s">
        <v>229</v>
      </c>
      <c r="D84" s="4">
        <v>14</v>
      </c>
      <c r="E84" s="5"/>
      <c r="F84" s="5" t="s">
        <v>289</v>
      </c>
      <c r="G84" s="4" t="s">
        <v>56</v>
      </c>
      <c r="H84" s="4" t="s">
        <v>259</v>
      </c>
      <c r="I84" s="4" t="s">
        <v>264</v>
      </c>
      <c r="O84" s="5"/>
      <c r="P84" s="5"/>
      <c r="Q84" s="5"/>
    </row>
    <row r="85" s="4" customFormat="1" spans="1:20">
      <c r="A85" s="5"/>
      <c r="B85" s="6"/>
      <c r="C85" s="4" t="s">
        <v>230</v>
      </c>
      <c r="D85" s="4">
        <v>14</v>
      </c>
      <c r="E85" s="5"/>
      <c r="F85" s="5"/>
      <c r="H85" s="4" t="s">
        <v>290</v>
      </c>
      <c r="I85" s="4">
        <f>16+16</f>
        <v>32</v>
      </c>
      <c r="O85" s="5"/>
      <c r="P85" s="5"/>
      <c r="Q85" s="5"/>
      <c r="R85" s="4">
        <v>3600</v>
      </c>
      <c r="S85" s="4">
        <v>8000</v>
      </c>
      <c r="T85" s="4">
        <v>5500</v>
      </c>
    </row>
    <row r="86" s="4" customFormat="1" spans="1:20">
      <c r="A86" s="5"/>
      <c r="B86" s="6"/>
      <c r="C86" s="4" t="s">
        <v>269</v>
      </c>
      <c r="D86" s="4">
        <v>14</v>
      </c>
      <c r="E86" s="5"/>
      <c r="F86" s="5"/>
      <c r="H86" s="4" t="s">
        <v>291</v>
      </c>
      <c r="I86" s="4">
        <f>10*4</f>
        <v>40</v>
      </c>
      <c r="O86" s="5"/>
      <c r="P86" s="5"/>
      <c r="Q86" s="5"/>
      <c r="R86" s="4">
        <v>3200</v>
      </c>
      <c r="S86" s="4">
        <v>2500</v>
      </c>
      <c r="T86" s="4">
        <v>2500</v>
      </c>
    </row>
    <row r="87" s="4" customFormat="1" spans="1:21">
      <c r="A87" s="5"/>
      <c r="B87" s="6"/>
      <c r="C87" s="4" t="s">
        <v>230</v>
      </c>
      <c r="D87" s="4">
        <v>14</v>
      </c>
      <c r="E87" s="5"/>
      <c r="F87" s="5"/>
      <c r="H87" s="4" t="s">
        <v>232</v>
      </c>
      <c r="I87" s="4">
        <f>SUM(I85:I86)</f>
        <v>72</v>
      </c>
      <c r="O87" s="5"/>
      <c r="P87" s="5"/>
      <c r="Q87" s="5"/>
      <c r="R87" s="4">
        <f t="shared" ref="R87:T87" si="21">SUM(R85:R86)</f>
        <v>6800</v>
      </c>
      <c r="S87" s="4">
        <f t="shared" si="21"/>
        <v>10500</v>
      </c>
      <c r="T87" s="4">
        <f t="shared" si="21"/>
        <v>8000</v>
      </c>
      <c r="U87" s="4">
        <f>AVERAGE(R87:T87)</f>
        <v>8433.33333333333</v>
      </c>
    </row>
    <row r="88" s="4" customFormat="1" spans="1:17">
      <c r="A88" s="5"/>
      <c r="B88" s="6"/>
      <c r="C88" s="4" t="s">
        <v>232</v>
      </c>
      <c r="D88" s="4">
        <f>SUM(D84:D87)</f>
        <v>56</v>
      </c>
      <c r="E88" s="5"/>
      <c r="F88" s="5"/>
      <c r="H88" s="4" t="s">
        <v>235</v>
      </c>
      <c r="I88" s="17">
        <f>I87/(18*6)</f>
        <v>0.666666666666667</v>
      </c>
      <c r="O88" s="5"/>
      <c r="P88" s="5"/>
      <c r="Q88" s="5"/>
    </row>
    <row r="89" s="4" customFormat="1" spans="1:17">
      <c r="A89" s="5"/>
      <c r="B89" s="6"/>
      <c r="C89" s="4" t="s">
        <v>235</v>
      </c>
      <c r="D89" s="17">
        <f>D88/(18*4)</f>
        <v>0.777777777777778</v>
      </c>
      <c r="E89" s="5"/>
      <c r="F89" s="5"/>
      <c r="H89" s="4" t="s">
        <v>237</v>
      </c>
      <c r="I89" s="4">
        <f>18*10*67%*6*350</f>
        <v>253260</v>
      </c>
      <c r="J89" s="4" t="s">
        <v>238</v>
      </c>
      <c r="O89" s="5"/>
      <c r="P89" s="5"/>
      <c r="Q89" s="5"/>
    </row>
    <row r="90" s="4" customFormat="1" spans="1:17">
      <c r="A90" s="5"/>
      <c r="B90" s="6"/>
      <c r="C90" s="4" t="s">
        <v>237</v>
      </c>
      <c r="D90" s="4">
        <f>18*78%*3*14*350</f>
        <v>206388</v>
      </c>
      <c r="E90" s="5"/>
      <c r="F90" s="5"/>
      <c r="O90" s="5"/>
      <c r="P90" s="5"/>
      <c r="Q90" s="5"/>
    </row>
    <row r="91" s="4" customFormat="1" spans="1:17">
      <c r="A91" s="5"/>
      <c r="B91" s="6"/>
      <c r="C91" s="4" t="s">
        <v>278</v>
      </c>
      <c r="D91" s="4">
        <f>(D80+D90)/2</f>
        <v>214032</v>
      </c>
      <c r="E91" s="5"/>
      <c r="F91" s="5" t="s">
        <v>292</v>
      </c>
      <c r="G91" s="4" t="s">
        <v>122</v>
      </c>
      <c r="H91" s="4" t="s">
        <v>244</v>
      </c>
      <c r="I91" s="4" t="s">
        <v>228</v>
      </c>
      <c r="K91" s="4" t="s">
        <v>293</v>
      </c>
      <c r="M91" s="4" t="s">
        <v>294</v>
      </c>
      <c r="N91" s="4">
        <f>10*7</f>
        <v>70</v>
      </c>
      <c r="O91" s="5"/>
      <c r="P91" s="5"/>
      <c r="Q91" s="5"/>
    </row>
    <row r="92" s="4" customFormat="1" spans="1:17">
      <c r="A92" s="5"/>
      <c r="B92" s="6"/>
      <c r="E92" s="5"/>
      <c r="F92" s="5"/>
      <c r="H92" s="4" t="s">
        <v>229</v>
      </c>
      <c r="I92" s="4">
        <f>28</f>
        <v>28</v>
      </c>
      <c r="M92" s="4" t="s">
        <v>295</v>
      </c>
      <c r="N92" s="4">
        <f>18*15</f>
        <v>270</v>
      </c>
      <c r="O92" s="5"/>
      <c r="P92" s="5"/>
      <c r="Q92" s="5"/>
    </row>
    <row r="93" s="4" customFormat="1" spans="1:17">
      <c r="A93" s="5"/>
      <c r="B93" s="6"/>
      <c r="C93" s="4">
        <v>5200</v>
      </c>
      <c r="D93" s="4">
        <v>3500</v>
      </c>
      <c r="E93" s="5"/>
      <c r="F93" s="5"/>
      <c r="H93" s="4" t="s">
        <v>230</v>
      </c>
      <c r="I93" s="4">
        <v>14</v>
      </c>
      <c r="M93" s="4" t="s">
        <v>296</v>
      </c>
      <c r="N93" s="4">
        <f>(N91+N92)/28</f>
        <v>12.1428571428571</v>
      </c>
      <c r="O93" s="5"/>
      <c r="P93" s="5"/>
      <c r="Q93" s="5"/>
    </row>
    <row r="94" s="4" customFormat="1" spans="1:17">
      <c r="A94" s="5"/>
      <c r="B94" s="6"/>
      <c r="D94" s="4">
        <v>3800</v>
      </c>
      <c r="E94" s="5" t="s">
        <v>297</v>
      </c>
      <c r="F94" s="5"/>
      <c r="H94" s="4" t="s">
        <v>232</v>
      </c>
      <c r="I94" s="4">
        <f>SUM(I92:I93)</f>
        <v>42</v>
      </c>
      <c r="O94" s="5"/>
      <c r="P94" s="5"/>
      <c r="Q94" s="5"/>
    </row>
    <row r="95" s="4" customFormat="1" spans="1:17">
      <c r="A95" s="5"/>
      <c r="B95" s="6"/>
      <c r="C95" s="4">
        <f>SUM(C93:C94)</f>
        <v>5200</v>
      </c>
      <c r="D95" s="4">
        <f>SUM(D93:D94)</f>
        <v>7300</v>
      </c>
      <c r="E95" s="5">
        <f>AVERAGE(C95:D95)</f>
        <v>6250</v>
      </c>
      <c r="F95" s="5"/>
      <c r="H95" s="4" t="s">
        <v>235</v>
      </c>
      <c r="I95" s="17">
        <f>I94/(28*2)</f>
        <v>0.75</v>
      </c>
      <c r="O95" s="5"/>
      <c r="P95" s="5"/>
      <c r="Q95" s="5"/>
    </row>
    <row r="96" s="4" customFormat="1" spans="1:17">
      <c r="A96" s="5"/>
      <c r="B96" s="6"/>
      <c r="E96" s="5"/>
      <c r="F96" s="5"/>
      <c r="H96" s="4" t="s">
        <v>237</v>
      </c>
      <c r="I96" s="4">
        <f>28*2*75%*13.5*350</f>
        <v>198450</v>
      </c>
      <c r="J96" s="4" t="s">
        <v>238</v>
      </c>
      <c r="O96" s="5"/>
      <c r="P96" s="5"/>
      <c r="Q96" s="5"/>
    </row>
    <row r="97" s="4" customFormat="1" spans="1:17">
      <c r="A97" s="5"/>
      <c r="B97" s="6"/>
      <c r="E97" s="5"/>
      <c r="F97" s="5"/>
      <c r="O97" s="5"/>
      <c r="P97" s="5"/>
      <c r="Q97" s="5"/>
    </row>
    <row r="98" s="4" customFormat="1" spans="1:17">
      <c r="A98" s="5"/>
      <c r="B98" s="6"/>
      <c r="E98" s="5"/>
      <c r="F98" s="5" t="s">
        <v>298</v>
      </c>
      <c r="G98" s="4" t="s">
        <v>19</v>
      </c>
      <c r="H98" s="4">
        <f>18*80%*20*2*350</f>
        <v>201600</v>
      </c>
      <c r="O98" s="5"/>
      <c r="P98" s="5"/>
      <c r="Q98" s="5"/>
    </row>
    <row r="99" s="4" customFormat="1" spans="1:17">
      <c r="A99" s="5"/>
      <c r="B99" s="6"/>
      <c r="E99" s="5"/>
      <c r="F99" s="5"/>
      <c r="G99" s="4" t="s">
        <v>229</v>
      </c>
      <c r="H99" s="4">
        <v>14</v>
      </c>
      <c r="O99" s="5"/>
      <c r="P99" s="5"/>
      <c r="Q99" s="5"/>
    </row>
    <row r="100" s="4" customFormat="1" spans="1:17">
      <c r="A100" s="5"/>
      <c r="B100" s="6"/>
      <c r="E100" s="5"/>
      <c r="F100" s="5"/>
      <c r="G100" s="4" t="s">
        <v>230</v>
      </c>
      <c r="H100" s="4">
        <v>14</v>
      </c>
      <c r="O100" s="5"/>
      <c r="P100" s="5"/>
      <c r="Q100" s="5"/>
    </row>
    <row r="101" s="4" customFormat="1" spans="1:17">
      <c r="A101" s="5"/>
      <c r="B101" s="6"/>
      <c r="E101" s="5"/>
      <c r="F101" s="5"/>
      <c r="G101" s="4" t="s">
        <v>232</v>
      </c>
      <c r="H101" s="4">
        <f>SUM(H99:H100)</f>
        <v>28</v>
      </c>
      <c r="O101" s="5"/>
      <c r="P101" s="5"/>
      <c r="Q101" s="5"/>
    </row>
    <row r="102" s="4" customFormat="1" spans="1:17">
      <c r="A102" s="5"/>
      <c r="B102" s="6"/>
      <c r="E102" s="5"/>
      <c r="F102" s="5"/>
      <c r="G102" s="4" t="s">
        <v>235</v>
      </c>
      <c r="H102" s="17">
        <f>H101/(18*2)</f>
        <v>0.777777777777778</v>
      </c>
      <c r="O102" s="5"/>
      <c r="P102" s="5"/>
      <c r="Q102" s="5"/>
    </row>
    <row r="103" s="4" customFormat="1" spans="1:17">
      <c r="A103" s="5"/>
      <c r="B103" s="6"/>
      <c r="E103" s="5"/>
      <c r="F103" s="5"/>
      <c r="G103" s="4" t="s">
        <v>237</v>
      </c>
      <c r="H103" s="4">
        <f>18*80%*20*2*350</f>
        <v>201600</v>
      </c>
      <c r="O103" s="5"/>
      <c r="P103" s="5"/>
      <c r="Q103" s="5"/>
    </row>
    <row r="104" s="4" customFormat="1" spans="1:17">
      <c r="A104" s="5"/>
      <c r="B104" s="6"/>
      <c r="E104" s="5"/>
      <c r="F104" s="5"/>
      <c r="O104" s="5"/>
      <c r="P104" s="5"/>
      <c r="Q104" s="5"/>
    </row>
    <row r="105" s="4" customFormat="1" spans="1:17">
      <c r="A105" s="5"/>
      <c r="B105" s="6"/>
      <c r="E105" s="5"/>
      <c r="F105" s="5" t="s">
        <v>299</v>
      </c>
      <c r="G105" s="4" t="s">
        <v>22</v>
      </c>
      <c r="I105" s="5"/>
      <c r="J105" s="5"/>
      <c r="K105" s="5" t="s">
        <v>300</v>
      </c>
      <c r="L105" s="4" t="s">
        <v>301</v>
      </c>
      <c r="O105" s="5"/>
      <c r="P105" s="5"/>
      <c r="Q105" s="5"/>
    </row>
    <row r="106" s="4" customFormat="1" spans="1:17">
      <c r="A106" s="5"/>
      <c r="B106" s="6"/>
      <c r="E106" s="5"/>
      <c r="F106" s="5"/>
      <c r="G106" s="4" t="s">
        <v>259</v>
      </c>
      <c r="H106" s="4" t="s">
        <v>274</v>
      </c>
      <c r="K106" s="4">
        <v>2560</v>
      </c>
      <c r="L106" s="31">
        <v>87237.6068376068</v>
      </c>
      <c r="O106" s="5"/>
      <c r="P106" s="5"/>
      <c r="Q106" s="5"/>
    </row>
    <row r="107" s="4" customFormat="1" spans="1:17">
      <c r="A107" s="5"/>
      <c r="B107" s="6"/>
      <c r="E107" s="5"/>
      <c r="F107" s="5"/>
      <c r="G107" s="4" t="s">
        <v>290</v>
      </c>
      <c r="H107" s="4">
        <f>18+11</f>
        <v>29</v>
      </c>
      <c r="K107" s="4">
        <v>2560</v>
      </c>
      <c r="L107" s="31">
        <v>87237.6068376068</v>
      </c>
      <c r="O107" s="5"/>
      <c r="P107" s="5"/>
      <c r="Q107" s="5"/>
    </row>
    <row r="108" s="4" customFormat="1" spans="1:17">
      <c r="A108" s="5"/>
      <c r="B108" s="6"/>
      <c r="E108" s="5"/>
      <c r="F108" s="5"/>
      <c r="G108" s="4" t="s">
        <v>302</v>
      </c>
      <c r="H108" s="4">
        <f>16+10</f>
        <v>26</v>
      </c>
      <c r="K108" s="4">
        <v>2560</v>
      </c>
      <c r="L108" s="31">
        <v>82895.7264957265</v>
      </c>
      <c r="O108" s="5"/>
      <c r="P108" s="5"/>
      <c r="Q108" s="5"/>
    </row>
    <row r="109" s="4" customFormat="1" spans="1:17">
      <c r="A109" s="5"/>
      <c r="B109" s="6"/>
      <c r="E109" s="5"/>
      <c r="F109" s="5"/>
      <c r="G109" s="4" t="s">
        <v>232</v>
      </c>
      <c r="H109" s="4">
        <f>SUM(H107:H108)</f>
        <v>55</v>
      </c>
      <c r="K109" s="4">
        <v>2560</v>
      </c>
      <c r="L109" s="31">
        <v>82895.7264957265</v>
      </c>
      <c r="O109" s="5"/>
      <c r="P109" s="5"/>
      <c r="Q109" s="5"/>
    </row>
    <row r="110" s="4" customFormat="1" spans="1:17">
      <c r="A110" s="5"/>
      <c r="B110" s="6"/>
      <c r="E110" s="5"/>
      <c r="F110" s="5"/>
      <c r="G110" s="4" t="s">
        <v>235</v>
      </c>
      <c r="H110" s="17">
        <f>H109/(18*4)</f>
        <v>0.763888888888889</v>
      </c>
      <c r="L110" s="4">
        <f>AVERAGE(L106:L109)</f>
        <v>85066.6666666667</v>
      </c>
      <c r="M110" s="4">
        <f>L110/15</f>
        <v>5671.11111111111</v>
      </c>
      <c r="O110" s="5"/>
      <c r="P110" s="5"/>
      <c r="Q110" s="5"/>
    </row>
    <row r="111" s="4" customFormat="1" spans="1:17">
      <c r="A111" s="5"/>
      <c r="B111" s="6"/>
      <c r="E111" s="5"/>
      <c r="F111" s="5"/>
      <c r="G111" s="4" t="s">
        <v>237</v>
      </c>
      <c r="H111" s="4">
        <f>18*11*77%*4*350</f>
        <v>213444</v>
      </c>
      <c r="O111" s="5"/>
      <c r="P111" s="5"/>
      <c r="Q111" s="5"/>
    </row>
    <row r="112" s="4" customFormat="1" spans="1:17">
      <c r="A112" s="5"/>
      <c r="B112" s="6"/>
      <c r="E112" s="5"/>
      <c r="F112" s="5"/>
      <c r="O112" s="5"/>
      <c r="P112" s="5"/>
      <c r="Q112" s="5"/>
    </row>
    <row r="113" s="4" customFormat="1" spans="1:17">
      <c r="A113" s="5"/>
      <c r="B113" s="6"/>
      <c r="E113" s="5"/>
      <c r="F113" s="5" t="s">
        <v>303</v>
      </c>
      <c r="G113" s="4" t="s">
        <v>97</v>
      </c>
      <c r="H113" s="4">
        <f>18*70%*4*6*340</f>
        <v>102816</v>
      </c>
      <c r="O113" s="5"/>
      <c r="P113" s="5"/>
      <c r="Q113" s="5"/>
    </row>
    <row r="114" s="4" customFormat="1" spans="1:17">
      <c r="A114" s="5"/>
      <c r="B114" s="6"/>
      <c r="E114" s="5"/>
      <c r="F114" s="5"/>
      <c r="G114" s="4" t="s">
        <v>304</v>
      </c>
      <c r="H114" s="4">
        <f>14+14</f>
        <v>28</v>
      </c>
      <c r="O114" s="5"/>
      <c r="P114" s="5"/>
      <c r="Q114" s="5"/>
    </row>
    <row r="115" s="4" customFormat="1" spans="1:17">
      <c r="A115" s="5"/>
      <c r="B115" s="6"/>
      <c r="E115" s="5"/>
      <c r="G115" s="4" t="s">
        <v>305</v>
      </c>
      <c r="H115" s="4">
        <f>16+16</f>
        <v>32</v>
      </c>
      <c r="O115" s="5"/>
      <c r="P115" s="5"/>
      <c r="Q115" s="5"/>
    </row>
    <row r="116" s="4" customFormat="1" spans="1:17">
      <c r="A116" s="5"/>
      <c r="B116" s="6"/>
      <c r="E116" s="5"/>
      <c r="G116" s="30" t="s">
        <v>306</v>
      </c>
      <c r="H116" s="4">
        <f>(9+9)*2</f>
        <v>36</v>
      </c>
      <c r="O116" s="5"/>
      <c r="P116" s="5"/>
      <c r="Q116" s="5"/>
    </row>
    <row r="117" s="4" customFormat="1" spans="1:17">
      <c r="A117" s="5"/>
      <c r="B117" s="6"/>
      <c r="E117" s="5"/>
      <c r="G117" s="4" t="s">
        <v>130</v>
      </c>
      <c r="H117" s="4">
        <f>SUM(H114:H116)</f>
        <v>96</v>
      </c>
      <c r="O117" s="5"/>
      <c r="P117" s="5"/>
      <c r="Q117" s="5"/>
    </row>
    <row r="118" s="4" customFormat="1" spans="1:17">
      <c r="A118" s="5"/>
      <c r="B118" s="6"/>
      <c r="E118" s="5"/>
      <c r="G118" s="4" t="s">
        <v>232</v>
      </c>
      <c r="H118" s="4">
        <f>(18+18)*4</f>
        <v>144</v>
      </c>
      <c r="O118" s="5"/>
      <c r="P118" s="5"/>
      <c r="Q118" s="5"/>
    </row>
    <row r="119" s="4" customFormat="1" spans="1:17">
      <c r="A119" s="5"/>
      <c r="B119" s="6"/>
      <c r="E119" s="5"/>
      <c r="G119" s="4" t="s">
        <v>235</v>
      </c>
      <c r="H119" s="4">
        <f>H117/H118</f>
        <v>0.666666666666667</v>
      </c>
      <c r="O119" s="5"/>
      <c r="P119" s="5"/>
      <c r="Q119" s="5"/>
    </row>
    <row r="120" s="4" customFormat="1" spans="1:17">
      <c r="A120" s="5"/>
      <c r="B120" s="6"/>
      <c r="E120" s="5"/>
      <c r="G120" s="4" t="s">
        <v>237</v>
      </c>
      <c r="H120" s="4">
        <f>18*8*67%*5*350</f>
        <v>168840</v>
      </c>
      <c r="O120" s="5"/>
      <c r="P120" s="5"/>
      <c r="Q120" s="5"/>
    </row>
    <row r="121" s="4" customFormat="1" spans="1:17">
      <c r="A121" s="5"/>
      <c r="B121" s="6"/>
      <c r="E121" s="5"/>
      <c r="O121" s="5"/>
      <c r="P121" s="5"/>
      <c r="Q121" s="5"/>
    </row>
    <row r="122" s="4" customFormat="1" spans="1:17">
      <c r="A122" s="5"/>
      <c r="B122" s="6"/>
      <c r="E122" s="5"/>
      <c r="O122" s="5"/>
      <c r="P122" s="5"/>
      <c r="Q122" s="5"/>
    </row>
    <row r="123" s="4" customFormat="1" spans="1:17">
      <c r="A123" s="5"/>
      <c r="B123" s="6"/>
      <c r="E123" s="5"/>
      <c r="O123" s="5"/>
      <c r="P123" s="5"/>
      <c r="Q123" s="5"/>
    </row>
    <row r="124" s="4" customFormat="1" spans="1:17">
      <c r="A124" s="5"/>
      <c r="B124" s="6"/>
      <c r="E124" s="5"/>
      <c r="F124" s="5" t="s">
        <v>307</v>
      </c>
      <c r="G124" s="4" t="s">
        <v>100</v>
      </c>
      <c r="H124" s="4">
        <f>18*70%*3*4*340+40000</f>
        <v>91408</v>
      </c>
      <c r="J124" s="4">
        <f>4*7*3640</f>
        <v>101920</v>
      </c>
      <c r="O124" s="5"/>
      <c r="P124" s="5"/>
      <c r="Q124" s="5"/>
    </row>
    <row r="125" s="4" customFormat="1" spans="1:17">
      <c r="A125" s="5"/>
      <c r="B125" s="6"/>
      <c r="E125" s="5"/>
      <c r="F125" s="5"/>
      <c r="G125" s="4" t="s">
        <v>304</v>
      </c>
      <c r="H125" s="4">
        <f>14+14</f>
        <v>28</v>
      </c>
      <c r="O125" s="5"/>
      <c r="P125" s="5"/>
      <c r="Q125" s="5"/>
    </row>
    <row r="126" s="4" customFormat="1" spans="1:17">
      <c r="A126" s="5"/>
      <c r="B126" s="6"/>
      <c r="E126" s="5"/>
      <c r="F126" s="5"/>
      <c r="G126" s="4" t="s">
        <v>305</v>
      </c>
      <c r="H126" s="4">
        <f>16+16</f>
        <v>32</v>
      </c>
      <c r="O126" s="5"/>
      <c r="P126" s="5"/>
      <c r="Q126" s="5"/>
    </row>
    <row r="127" s="4" customFormat="1" spans="1:17">
      <c r="A127" s="5"/>
      <c r="B127" s="6"/>
      <c r="E127" s="5"/>
      <c r="G127" s="30" t="s">
        <v>306</v>
      </c>
      <c r="H127" s="4">
        <f>(9+9)*2</f>
        <v>36</v>
      </c>
      <c r="O127" s="5"/>
      <c r="P127" s="5"/>
      <c r="Q127" s="5"/>
    </row>
    <row r="128" s="4" customFormat="1" spans="1:17">
      <c r="A128" s="5"/>
      <c r="B128" s="6"/>
      <c r="E128" s="5"/>
      <c r="G128" s="4" t="s">
        <v>130</v>
      </c>
      <c r="H128" s="4">
        <f>SUM(H125:H127)</f>
        <v>96</v>
      </c>
      <c r="O128" s="5"/>
      <c r="P128" s="5"/>
      <c r="Q128" s="5"/>
    </row>
    <row r="129" s="4" customFormat="1" spans="1:17">
      <c r="A129" s="5"/>
      <c r="B129" s="6"/>
      <c r="E129" s="5"/>
      <c r="G129" s="4" t="s">
        <v>232</v>
      </c>
      <c r="H129" s="4">
        <f>(18+18)*4</f>
        <v>144</v>
      </c>
      <c r="O129" s="5"/>
      <c r="P129" s="5"/>
      <c r="Q129" s="5"/>
    </row>
    <row r="130" s="4" customFormat="1" spans="1:17">
      <c r="A130" s="5"/>
      <c r="B130" s="6"/>
      <c r="E130" s="5"/>
      <c r="G130" s="4" t="s">
        <v>235</v>
      </c>
      <c r="H130" s="4">
        <f>H128/H129</f>
        <v>0.666666666666667</v>
      </c>
      <c r="O130" s="5"/>
      <c r="P130" s="5"/>
      <c r="Q130" s="5"/>
    </row>
    <row r="131" s="4" customFormat="1" spans="1:17">
      <c r="A131" s="5"/>
      <c r="B131" s="6"/>
      <c r="E131" s="5"/>
      <c r="G131" s="4" t="s">
        <v>237</v>
      </c>
      <c r="H131" s="4">
        <f>18*8*67%*3*350</f>
        <v>101304</v>
      </c>
      <c r="O131" s="5"/>
      <c r="P131" s="5"/>
      <c r="Q131" s="5"/>
    </row>
    <row r="132" s="4" customFormat="1" spans="1:17">
      <c r="A132" s="5"/>
      <c r="B132" s="6"/>
      <c r="E132" s="5"/>
      <c r="O132" s="5"/>
      <c r="P132" s="5"/>
      <c r="Q132" s="5"/>
    </row>
    <row r="133" s="4" customFormat="1" spans="1:17">
      <c r="A133" s="5"/>
      <c r="B133" s="6"/>
      <c r="E133" s="5"/>
      <c r="O133" s="5"/>
      <c r="P133" s="5"/>
      <c r="Q133" s="5"/>
    </row>
    <row r="134" s="4" customFormat="1" spans="1:17">
      <c r="A134" s="5"/>
      <c r="B134" s="6"/>
      <c r="E134" s="5"/>
      <c r="F134" s="5" t="s">
        <v>308</v>
      </c>
      <c r="G134" s="4" t="s">
        <v>113</v>
      </c>
      <c r="H134" s="4">
        <f>18*3*75%*8*340</f>
        <v>110160</v>
      </c>
      <c r="O134" s="5"/>
      <c r="P134" s="5"/>
      <c r="Q134" s="5"/>
    </row>
    <row r="135" s="4" customFormat="1" spans="1:17">
      <c r="A135" s="5"/>
      <c r="B135" s="6"/>
      <c r="E135" s="5"/>
      <c r="F135" s="5"/>
      <c r="G135" s="4" t="s">
        <v>309</v>
      </c>
      <c r="O135" s="5"/>
      <c r="P135" s="5"/>
      <c r="Q135" s="5"/>
    </row>
    <row r="136" s="4" customFormat="1" spans="1:17">
      <c r="A136" s="5"/>
      <c r="B136" s="6"/>
      <c r="E136" s="5"/>
      <c r="G136" s="18" t="s">
        <v>310</v>
      </c>
      <c r="H136" s="4" t="s">
        <v>311</v>
      </c>
      <c r="I136" s="4">
        <f>(18+18)*2</f>
        <v>72</v>
      </c>
      <c r="O136" s="5"/>
      <c r="P136" s="5"/>
      <c r="Q136" s="5"/>
    </row>
    <row r="137" s="4" customFormat="1" spans="1:17">
      <c r="A137" s="5"/>
      <c r="B137" s="6"/>
      <c r="E137" s="5"/>
      <c r="G137" s="18"/>
      <c r="H137" s="4" t="s">
        <v>306</v>
      </c>
      <c r="I137" s="4">
        <f>(15+14)*2</f>
        <v>58</v>
      </c>
      <c r="O137" s="5"/>
      <c r="P137" s="5"/>
      <c r="Q137" s="5"/>
    </row>
    <row r="138" s="4" customFormat="1" spans="1:17">
      <c r="A138" s="5"/>
      <c r="B138" s="6"/>
      <c r="E138" s="5"/>
      <c r="G138" s="18"/>
      <c r="H138" s="4" t="s">
        <v>312</v>
      </c>
      <c r="I138" s="4">
        <f>(8+8)*4</f>
        <v>64</v>
      </c>
      <c r="O138" s="5"/>
      <c r="P138" s="5"/>
      <c r="Q138" s="5"/>
    </row>
    <row r="139" s="4" customFormat="1" spans="1:17">
      <c r="A139" s="5"/>
      <c r="B139" s="6"/>
      <c r="E139" s="5"/>
      <c r="G139" s="18"/>
      <c r="H139" s="4" t="s">
        <v>199</v>
      </c>
      <c r="I139" s="4">
        <f>SUM(I136:I138)</f>
        <v>194</v>
      </c>
      <c r="O139" s="5"/>
      <c r="P139" s="5"/>
      <c r="Q139" s="5"/>
    </row>
    <row r="140" s="4" customFormat="1" spans="1:17">
      <c r="A140" s="5"/>
      <c r="B140" s="6"/>
      <c r="E140" s="5"/>
      <c r="G140" s="18"/>
      <c r="H140" s="18" t="s">
        <v>313</v>
      </c>
      <c r="I140" s="4">
        <f>I139*9</f>
        <v>1746</v>
      </c>
      <c r="O140" s="5"/>
      <c r="P140" s="5"/>
      <c r="Q140" s="5"/>
    </row>
    <row r="141" s="4" customFormat="1" spans="1:17">
      <c r="A141" s="5"/>
      <c r="B141" s="6"/>
      <c r="E141" s="5"/>
      <c r="G141" s="18" t="s">
        <v>314</v>
      </c>
      <c r="H141" s="4" t="s">
        <v>315</v>
      </c>
      <c r="I141" s="4">
        <f>9+9</f>
        <v>18</v>
      </c>
      <c r="O141" s="5"/>
      <c r="P141" s="5"/>
      <c r="Q141" s="5"/>
    </row>
    <row r="142" s="4" customFormat="1" spans="1:17">
      <c r="A142" s="5"/>
      <c r="B142" s="6"/>
      <c r="E142" s="5"/>
      <c r="G142" s="18"/>
      <c r="H142" s="18" t="s">
        <v>316</v>
      </c>
      <c r="I142" s="4">
        <f>I141*8*21</f>
        <v>3024</v>
      </c>
      <c r="O142" s="5"/>
      <c r="P142" s="5"/>
      <c r="Q142" s="5"/>
    </row>
    <row r="143" s="4" customFormat="1" spans="1:17">
      <c r="A143" s="5"/>
      <c r="B143" s="6"/>
      <c r="E143" s="5"/>
      <c r="H143" s="18" t="s">
        <v>317</v>
      </c>
      <c r="I143" s="4">
        <f>I140+I142</f>
        <v>4770</v>
      </c>
      <c r="O143" s="5"/>
      <c r="P143" s="5"/>
      <c r="Q143" s="5"/>
    </row>
    <row r="144" s="4" customFormat="1" spans="1:17">
      <c r="A144" s="5"/>
      <c r="B144" s="6"/>
      <c r="E144" s="5"/>
      <c r="G144" s="18" t="s">
        <v>318</v>
      </c>
      <c r="H144" s="18" t="s">
        <v>319</v>
      </c>
      <c r="I144" s="4">
        <f>(18+18)*8</f>
        <v>288</v>
      </c>
      <c r="O144" s="5"/>
      <c r="P144" s="5"/>
      <c r="Q144" s="5"/>
    </row>
    <row r="145" s="4" customFormat="1" spans="1:17">
      <c r="A145" s="5"/>
      <c r="B145" s="6"/>
      <c r="E145" s="5"/>
      <c r="I145" s="17">
        <f>I143/30/I144</f>
        <v>0.552083333333333</v>
      </c>
      <c r="O145" s="5"/>
      <c r="P145" s="5"/>
      <c r="Q145" s="5"/>
    </row>
    <row r="146" s="4" customFormat="1" spans="1:17">
      <c r="A146" s="5"/>
      <c r="B146" s="6"/>
      <c r="E146" s="5"/>
      <c r="G146" s="4" t="s">
        <v>237</v>
      </c>
      <c r="H146" s="4">
        <f>18*4*16*55%*350</f>
        <v>221760</v>
      </c>
      <c r="O146" s="5"/>
      <c r="P146" s="5"/>
      <c r="Q146" s="5"/>
    </row>
    <row r="147" s="4" customFormat="1" spans="1:17">
      <c r="A147" s="5"/>
      <c r="B147" s="6"/>
      <c r="E147" s="5"/>
      <c r="O147" s="5"/>
      <c r="P147" s="5"/>
      <c r="Q147" s="5"/>
    </row>
    <row r="148" s="4" customFormat="1" spans="1:17">
      <c r="A148" s="5"/>
      <c r="B148" s="6"/>
      <c r="E148" s="5"/>
      <c r="F148" s="5" t="s">
        <v>320</v>
      </c>
      <c r="G148" s="4" t="s">
        <v>116</v>
      </c>
      <c r="H148" s="4">
        <f>18*3*75%*8*340</f>
        <v>110160</v>
      </c>
      <c r="O148" s="5"/>
      <c r="P148" s="5"/>
      <c r="Q148" s="5"/>
    </row>
    <row r="149" s="4" customFormat="1" spans="1:17">
      <c r="A149" s="5"/>
      <c r="B149" s="6"/>
      <c r="E149" s="5"/>
      <c r="F149" s="5"/>
      <c r="G149" s="4" t="s">
        <v>309</v>
      </c>
      <c r="O149" s="5"/>
      <c r="P149" s="5"/>
      <c r="Q149" s="5"/>
    </row>
    <row r="150" s="4" customFormat="1" spans="1:17">
      <c r="A150" s="5"/>
      <c r="B150" s="6"/>
      <c r="E150" s="5"/>
      <c r="G150" s="18" t="s">
        <v>310</v>
      </c>
      <c r="H150" s="4" t="s">
        <v>311</v>
      </c>
      <c r="I150" s="4">
        <f>(18+18)*2</f>
        <v>72</v>
      </c>
      <c r="O150" s="5"/>
      <c r="P150" s="5"/>
      <c r="Q150" s="5"/>
    </row>
    <row r="151" s="4" customFormat="1" spans="1:17">
      <c r="A151" s="5"/>
      <c r="B151" s="6"/>
      <c r="E151" s="5"/>
      <c r="G151" s="18"/>
      <c r="H151" s="4" t="s">
        <v>306</v>
      </c>
      <c r="I151" s="4">
        <f>(15+14)*2</f>
        <v>58</v>
      </c>
      <c r="O151" s="5"/>
      <c r="P151" s="5"/>
      <c r="Q151" s="5"/>
    </row>
    <row r="152" s="4" customFormat="1" spans="1:17">
      <c r="A152" s="5"/>
      <c r="B152" s="6"/>
      <c r="E152" s="5"/>
      <c r="G152" s="18"/>
      <c r="H152" s="4" t="s">
        <v>312</v>
      </c>
      <c r="I152" s="4">
        <f>(8+8)*4</f>
        <v>64</v>
      </c>
      <c r="O152" s="5"/>
      <c r="P152" s="5"/>
      <c r="Q152" s="5"/>
    </row>
    <row r="153" s="4" customFormat="1" spans="1:17">
      <c r="A153" s="5"/>
      <c r="B153" s="6"/>
      <c r="E153" s="5"/>
      <c r="G153" s="18"/>
      <c r="H153" s="4" t="s">
        <v>199</v>
      </c>
      <c r="I153" s="4">
        <f>SUM(I150:I152)</f>
        <v>194</v>
      </c>
      <c r="O153" s="5"/>
      <c r="P153" s="5"/>
      <c r="Q153" s="5"/>
    </row>
    <row r="154" s="4" customFormat="1" spans="1:17">
      <c r="A154" s="5"/>
      <c r="B154" s="6"/>
      <c r="E154" s="5"/>
      <c r="G154" s="18"/>
      <c r="H154" s="18" t="s">
        <v>313</v>
      </c>
      <c r="I154" s="4">
        <f>I153*9</f>
        <v>1746</v>
      </c>
      <c r="O154" s="5"/>
      <c r="P154" s="5"/>
      <c r="Q154" s="5"/>
    </row>
    <row r="155" s="4" customFormat="1" spans="1:17">
      <c r="A155" s="5"/>
      <c r="B155" s="6"/>
      <c r="E155" s="5"/>
      <c r="G155" s="18" t="s">
        <v>314</v>
      </c>
      <c r="H155" s="4" t="s">
        <v>315</v>
      </c>
      <c r="I155" s="4">
        <f>9+9</f>
        <v>18</v>
      </c>
      <c r="O155" s="5"/>
      <c r="P155" s="5"/>
      <c r="Q155" s="5"/>
    </row>
    <row r="156" s="4" customFormat="1" spans="1:17">
      <c r="A156" s="5"/>
      <c r="B156" s="6"/>
      <c r="E156" s="5"/>
      <c r="G156" s="18"/>
      <c r="H156" s="18" t="s">
        <v>316</v>
      </c>
      <c r="I156" s="4">
        <f>I155*8*21</f>
        <v>3024</v>
      </c>
      <c r="O156" s="5"/>
      <c r="P156" s="5"/>
      <c r="Q156" s="5"/>
    </row>
    <row r="157" s="4" customFormat="1" spans="1:17">
      <c r="A157" s="5"/>
      <c r="B157" s="6"/>
      <c r="E157" s="5"/>
      <c r="H157" s="18" t="s">
        <v>317</v>
      </c>
      <c r="I157" s="4">
        <f>I154+I156</f>
        <v>4770</v>
      </c>
      <c r="O157" s="5"/>
      <c r="P157" s="5"/>
      <c r="Q157" s="5"/>
    </row>
    <row r="158" s="4" customFormat="1" spans="1:17">
      <c r="A158" s="5"/>
      <c r="B158" s="6"/>
      <c r="E158" s="5"/>
      <c r="G158" s="18" t="s">
        <v>318</v>
      </c>
      <c r="H158" s="18" t="s">
        <v>319</v>
      </c>
      <c r="I158" s="4">
        <f>(18+18)*8</f>
        <v>288</v>
      </c>
      <c r="O158" s="5"/>
      <c r="P158" s="5"/>
      <c r="Q158" s="5"/>
    </row>
    <row r="159" s="4" customFormat="1" spans="1:17">
      <c r="A159" s="5"/>
      <c r="B159" s="6"/>
      <c r="E159" s="5"/>
      <c r="I159" s="17">
        <f>I157/30/I158</f>
        <v>0.552083333333333</v>
      </c>
      <c r="O159" s="5"/>
      <c r="P159" s="5"/>
      <c r="Q159" s="5"/>
    </row>
    <row r="160" s="4" customFormat="1" spans="1:17">
      <c r="A160" s="5"/>
      <c r="B160" s="6"/>
      <c r="E160" s="5"/>
      <c r="G160" s="4" t="s">
        <v>237</v>
      </c>
      <c r="H160" s="4">
        <f>18*3*16*55%*350</f>
        <v>166320</v>
      </c>
      <c r="O160" s="5"/>
      <c r="P160" s="5"/>
      <c r="Q160" s="5"/>
    </row>
    <row r="161" s="4" customFormat="1" spans="1:17">
      <c r="A161" s="5"/>
      <c r="B161" s="6"/>
      <c r="E161" s="5"/>
      <c r="O161" s="5"/>
      <c r="P161" s="5"/>
      <c r="Q161" s="5"/>
    </row>
    <row r="162" s="4" customFormat="1" spans="1:17">
      <c r="A162" s="5"/>
      <c r="B162" s="6"/>
      <c r="E162" s="5"/>
      <c r="F162" s="5" t="s">
        <v>321</v>
      </c>
      <c r="G162" s="4" t="s">
        <v>110</v>
      </c>
      <c r="O162" s="5"/>
      <c r="P162" s="5"/>
      <c r="Q162" s="5"/>
    </row>
    <row r="163" s="4" customFormat="1" spans="1:17">
      <c r="A163" s="5"/>
      <c r="B163" s="6"/>
      <c r="E163" s="5"/>
      <c r="G163" s="4" t="s">
        <v>309</v>
      </c>
      <c r="O163" s="5"/>
      <c r="P163" s="5"/>
      <c r="Q163" s="5"/>
    </row>
    <row r="164" s="4" customFormat="1" spans="1:17">
      <c r="A164" s="5"/>
      <c r="B164" s="6"/>
      <c r="E164" s="5"/>
      <c r="G164" s="18" t="s">
        <v>310</v>
      </c>
      <c r="H164" s="4" t="s">
        <v>311</v>
      </c>
      <c r="I164" s="4">
        <f>(18+18)*2</f>
        <v>72</v>
      </c>
      <c r="O164" s="5"/>
      <c r="P164" s="5"/>
      <c r="Q164" s="5"/>
    </row>
    <row r="165" s="4" customFormat="1" spans="1:17">
      <c r="A165" s="5"/>
      <c r="B165" s="6"/>
      <c r="E165" s="5"/>
      <c r="G165" s="18"/>
      <c r="H165" s="4" t="s">
        <v>306</v>
      </c>
      <c r="I165" s="4">
        <f>(13+13)*2</f>
        <v>52</v>
      </c>
      <c r="O165" s="5"/>
      <c r="P165" s="5"/>
      <c r="Q165" s="5"/>
    </row>
    <row r="166" s="4" customFormat="1" spans="1:17">
      <c r="A166" s="5"/>
      <c r="B166" s="6"/>
      <c r="E166" s="5"/>
      <c r="G166" s="18"/>
      <c r="H166" s="4" t="s">
        <v>322</v>
      </c>
      <c r="I166" s="4">
        <f>(8+8)*2</f>
        <v>32</v>
      </c>
      <c r="O166" s="5"/>
      <c r="P166" s="5"/>
      <c r="Q166" s="5"/>
    </row>
    <row r="167" s="4" customFormat="1" spans="1:17">
      <c r="A167" s="5"/>
      <c r="B167" s="6"/>
      <c r="E167" s="5"/>
      <c r="G167" s="18"/>
      <c r="H167" s="4" t="s">
        <v>199</v>
      </c>
      <c r="I167" s="4">
        <f>SUM(I164:I166)</f>
        <v>156</v>
      </c>
      <c r="O167" s="5"/>
      <c r="P167" s="5"/>
      <c r="Q167" s="5"/>
    </row>
    <row r="168" s="4" customFormat="1" spans="1:17">
      <c r="A168" s="5"/>
      <c r="B168" s="6"/>
      <c r="E168" s="5"/>
      <c r="G168" s="18"/>
      <c r="H168" s="18" t="s">
        <v>313</v>
      </c>
      <c r="I168" s="4">
        <f>I167*9</f>
        <v>1404</v>
      </c>
      <c r="O168" s="5"/>
      <c r="P168" s="5"/>
      <c r="Q168" s="5"/>
    </row>
    <row r="169" s="4" customFormat="1" spans="1:17">
      <c r="A169" s="5"/>
      <c r="B169" s="6"/>
      <c r="E169" s="5"/>
      <c r="G169" s="18" t="s">
        <v>314</v>
      </c>
      <c r="H169" s="4" t="s">
        <v>315</v>
      </c>
      <c r="I169" s="4">
        <f>7+7</f>
        <v>14</v>
      </c>
      <c r="O169" s="5"/>
      <c r="P169" s="5"/>
      <c r="Q169" s="5"/>
    </row>
    <row r="170" s="4" customFormat="1" spans="1:17">
      <c r="A170" s="5"/>
      <c r="B170" s="6"/>
      <c r="E170" s="5"/>
      <c r="G170" s="18"/>
      <c r="H170" s="18" t="s">
        <v>316</v>
      </c>
      <c r="I170" s="4">
        <f>I169*6*21</f>
        <v>1764</v>
      </c>
      <c r="O170" s="5"/>
      <c r="P170" s="5"/>
      <c r="Q170" s="5"/>
    </row>
    <row r="171" s="4" customFormat="1" spans="1:17">
      <c r="A171" s="5"/>
      <c r="B171" s="6"/>
      <c r="E171" s="5"/>
      <c r="H171" s="18" t="s">
        <v>317</v>
      </c>
      <c r="I171" s="4">
        <f>I168+I170</f>
        <v>3168</v>
      </c>
      <c r="O171" s="5"/>
      <c r="P171" s="5"/>
      <c r="Q171" s="5"/>
    </row>
    <row r="172" s="4" customFormat="1" spans="1:17">
      <c r="A172" s="5"/>
      <c r="B172" s="6"/>
      <c r="E172" s="5"/>
      <c r="G172" s="18" t="s">
        <v>318</v>
      </c>
      <c r="H172" s="18" t="s">
        <v>319</v>
      </c>
      <c r="I172" s="4">
        <f>(18+18)*6</f>
        <v>216</v>
      </c>
      <c r="O172" s="5"/>
      <c r="P172" s="5"/>
      <c r="Q172" s="5"/>
    </row>
    <row r="173" s="4" customFormat="1" spans="1:17">
      <c r="A173" s="5"/>
      <c r="B173" s="6"/>
      <c r="E173" s="5"/>
      <c r="I173" s="17">
        <f>I171/30/I172</f>
        <v>0.488888888888889</v>
      </c>
      <c r="O173" s="5"/>
      <c r="P173" s="5"/>
      <c r="Q173" s="5"/>
    </row>
    <row r="174" s="4" customFormat="1" spans="1:17">
      <c r="A174" s="5"/>
      <c r="B174" s="6"/>
      <c r="E174" s="5"/>
      <c r="G174" s="4" t="s">
        <v>237</v>
      </c>
      <c r="H174" s="4">
        <f>18*6*12*50%*350</f>
        <v>226800</v>
      </c>
      <c r="O174" s="5"/>
      <c r="P174" s="5"/>
      <c r="Q174" s="5"/>
    </row>
    <row r="175" s="4" customFormat="1" spans="1:17">
      <c r="A175" s="5"/>
      <c r="B175" s="6"/>
      <c r="E175" s="5"/>
      <c r="O175" s="5"/>
      <c r="P175" s="5"/>
      <c r="Q175" s="5"/>
    </row>
    <row r="176" s="4" customFormat="1" spans="1:17">
      <c r="A176" s="5"/>
      <c r="B176" s="6"/>
      <c r="E176" s="5"/>
      <c r="O176" s="5"/>
      <c r="P176" s="5"/>
      <c r="Q176" s="5"/>
    </row>
    <row r="177" s="4" customFormat="1" spans="1:17">
      <c r="A177" s="5"/>
      <c r="B177" s="6"/>
      <c r="E177" s="5"/>
      <c r="F177" s="5"/>
      <c r="O177" s="5"/>
      <c r="P177" s="5"/>
      <c r="Q177" s="5"/>
    </row>
    <row r="178" s="4" customFormat="1" spans="1:17">
      <c r="A178" s="5"/>
      <c r="B178" s="6"/>
      <c r="E178" s="5"/>
      <c r="F178" s="5" t="s">
        <v>323</v>
      </c>
      <c r="G178" s="4" t="s">
        <v>103</v>
      </c>
      <c r="O178" s="5"/>
      <c r="P178" s="5"/>
      <c r="Q178" s="5"/>
    </row>
    <row r="179" s="4" customFormat="1" spans="1:17">
      <c r="A179" s="5"/>
      <c r="B179" s="6"/>
      <c r="E179" s="5"/>
      <c r="F179" s="5"/>
      <c r="G179" s="4" t="s">
        <v>259</v>
      </c>
      <c r="H179" s="4" t="s">
        <v>260</v>
      </c>
      <c r="O179" s="5"/>
      <c r="P179" s="5"/>
      <c r="Q179" s="5"/>
    </row>
    <row r="180" s="4" customFormat="1" spans="1:17">
      <c r="A180" s="5"/>
      <c r="B180" s="6"/>
      <c r="E180" s="5"/>
      <c r="G180" s="4" t="s">
        <v>290</v>
      </c>
      <c r="H180" s="4">
        <f>18+18</f>
        <v>36</v>
      </c>
      <c r="O180" s="5"/>
      <c r="P180" s="5"/>
      <c r="Q180" s="5"/>
    </row>
    <row r="181" s="4" customFormat="1" spans="1:17">
      <c r="A181" s="5"/>
      <c r="B181" s="6"/>
      <c r="E181" s="5"/>
      <c r="G181" s="4" t="s">
        <v>324</v>
      </c>
      <c r="H181" s="4">
        <f>8*2*5</f>
        <v>80</v>
      </c>
      <c r="O181" s="5"/>
      <c r="P181" s="5"/>
      <c r="Q181" s="5"/>
    </row>
    <row r="182" s="4" customFormat="1" spans="1:17">
      <c r="A182" s="5"/>
      <c r="B182" s="6"/>
      <c r="E182" s="5"/>
      <c r="G182" s="4" t="s">
        <v>232</v>
      </c>
      <c r="H182" s="4">
        <f>SUM(H180:H181)</f>
        <v>116</v>
      </c>
      <c r="O182" s="5"/>
      <c r="P182" s="5"/>
      <c r="Q182" s="5"/>
    </row>
    <row r="183" s="4" customFormat="1" spans="1:17">
      <c r="A183" s="5"/>
      <c r="B183" s="6"/>
      <c r="E183" s="5"/>
      <c r="G183" s="4" t="s">
        <v>235</v>
      </c>
      <c r="H183" s="17">
        <f>H182/(18*2*6)</f>
        <v>0.537037037037037</v>
      </c>
      <c r="O183" s="5"/>
      <c r="P183" s="5"/>
      <c r="Q183" s="5"/>
    </row>
    <row r="184" s="4" customFormat="1" spans="1:17">
      <c r="A184" s="5"/>
      <c r="B184" s="6"/>
      <c r="E184" s="5"/>
      <c r="G184" s="4" t="s">
        <v>237</v>
      </c>
      <c r="H184" s="4">
        <f>18*53%*12*4*350</f>
        <v>160272</v>
      </c>
      <c r="O184" s="5"/>
      <c r="P184" s="5"/>
      <c r="Q184" s="5"/>
    </row>
    <row r="185" s="4" customFormat="1" spans="1:17">
      <c r="A185" s="5"/>
      <c r="B185" s="6"/>
      <c r="E185" s="5"/>
      <c r="G185" s="4" t="s">
        <v>253</v>
      </c>
      <c r="O185" s="5"/>
      <c r="P185" s="5"/>
      <c r="Q185" s="5"/>
    </row>
    <row r="186" s="4" customFormat="1" spans="1:17">
      <c r="A186" s="5"/>
      <c r="B186" s="6"/>
      <c r="E186" s="5"/>
      <c r="G186" s="18" t="s">
        <v>325</v>
      </c>
      <c r="O186" s="5"/>
      <c r="P186" s="5"/>
      <c r="Q186" s="5"/>
    </row>
    <row r="187" s="4" customFormat="1" spans="1:17">
      <c r="A187" s="5"/>
      <c r="B187" s="6"/>
      <c r="E187" s="5"/>
      <c r="G187" s="18" t="s">
        <v>326</v>
      </c>
      <c r="O187" s="5"/>
      <c r="P187" s="5"/>
      <c r="Q187" s="5"/>
    </row>
    <row r="188" s="4" customFormat="1" spans="1:17">
      <c r="A188" s="5"/>
      <c r="B188" s="6"/>
      <c r="E188" s="5"/>
      <c r="O188" s="5"/>
      <c r="P188" s="5"/>
      <c r="Q188" s="5"/>
    </row>
    <row r="189" s="4" customFormat="1" spans="1:17">
      <c r="A189" s="5"/>
      <c r="B189" s="6"/>
      <c r="E189" s="5"/>
      <c r="O189" s="5"/>
      <c r="P189" s="5"/>
      <c r="Q189" s="5"/>
    </row>
    <row r="190" s="4" customFormat="1" spans="1:17">
      <c r="A190" s="5"/>
      <c r="B190" s="6"/>
      <c r="E190" s="5"/>
      <c r="F190" s="5" t="s">
        <v>327</v>
      </c>
      <c r="G190" s="4" t="s">
        <v>107</v>
      </c>
      <c r="O190" s="5"/>
      <c r="P190" s="5"/>
      <c r="Q190" s="5"/>
    </row>
    <row r="191" s="4" customFormat="1" spans="1:17">
      <c r="A191" s="5"/>
      <c r="B191" s="6"/>
      <c r="E191" s="5"/>
      <c r="F191" s="5"/>
      <c r="G191" s="4" t="s">
        <v>259</v>
      </c>
      <c r="H191" s="4" t="s">
        <v>280</v>
      </c>
      <c r="O191" s="5"/>
      <c r="P191" s="5"/>
      <c r="Q191" s="5"/>
    </row>
    <row r="192" s="4" customFormat="1" spans="1:17">
      <c r="A192" s="5"/>
      <c r="B192" s="6"/>
      <c r="E192" s="5"/>
      <c r="G192" s="4" t="s">
        <v>290</v>
      </c>
      <c r="H192" s="4">
        <f>18+18</f>
        <v>36</v>
      </c>
      <c r="O192" s="5"/>
      <c r="P192" s="5"/>
      <c r="Q192" s="5"/>
    </row>
    <row r="193" s="4" customFormat="1" spans="1:17">
      <c r="A193" s="5"/>
      <c r="B193" s="6"/>
      <c r="E193" s="5"/>
      <c r="G193" s="4" t="s">
        <v>262</v>
      </c>
      <c r="H193" s="4">
        <f>8*2*4</f>
        <v>64</v>
      </c>
      <c r="O193" s="5"/>
      <c r="P193" s="5"/>
      <c r="Q193" s="5"/>
    </row>
    <row r="194" s="4" customFormat="1" spans="1:17">
      <c r="A194" s="5"/>
      <c r="B194" s="6"/>
      <c r="E194" s="5"/>
      <c r="G194" s="4" t="s">
        <v>232</v>
      </c>
      <c r="H194" s="4">
        <f>SUM(H192:H193)</f>
        <v>100</v>
      </c>
      <c r="O194" s="5"/>
      <c r="P194" s="5"/>
      <c r="Q194" s="5"/>
    </row>
    <row r="195" s="4" customFormat="1" spans="1:17">
      <c r="A195" s="5"/>
      <c r="B195" s="6"/>
      <c r="E195" s="5"/>
      <c r="G195" s="4" t="s">
        <v>235</v>
      </c>
      <c r="H195" s="17">
        <f>H194/(18*2*5)</f>
        <v>0.555555555555556</v>
      </c>
      <c r="O195" s="5"/>
      <c r="P195" s="5"/>
      <c r="Q195" s="5"/>
    </row>
    <row r="196" s="4" customFormat="1" spans="1:17">
      <c r="A196" s="5"/>
      <c r="B196" s="6"/>
      <c r="E196" s="5"/>
      <c r="G196" s="4" t="s">
        <v>237</v>
      </c>
      <c r="H196" s="4">
        <f>18*56%*10*3*350</f>
        <v>105840</v>
      </c>
      <c r="O196" s="5"/>
      <c r="P196" s="5"/>
      <c r="Q196" s="5"/>
    </row>
    <row r="197" s="4" customFormat="1" spans="1:17">
      <c r="A197" s="5"/>
      <c r="B197" s="6"/>
      <c r="E197" s="5"/>
      <c r="G197" s="4" t="s">
        <v>253</v>
      </c>
      <c r="O197" s="5"/>
      <c r="P197" s="5"/>
      <c r="Q197" s="5"/>
    </row>
    <row r="198" s="4" customFormat="1" spans="1:17">
      <c r="A198" s="5"/>
      <c r="B198" s="6"/>
      <c r="E198" s="5"/>
      <c r="G198" s="18" t="s">
        <v>325</v>
      </c>
      <c r="H198" s="4">
        <v>9800</v>
      </c>
      <c r="O198" s="5"/>
      <c r="P198" s="5"/>
      <c r="Q198" s="5"/>
    </row>
    <row r="199" s="4" customFormat="1" spans="1:17">
      <c r="A199" s="5"/>
      <c r="B199" s="6"/>
      <c r="E199" s="5"/>
      <c r="G199" s="18" t="s">
        <v>326</v>
      </c>
      <c r="H199" s="4">
        <v>1000</v>
      </c>
      <c r="O199" s="5"/>
      <c r="P199" s="5"/>
      <c r="Q199" s="5"/>
    </row>
    <row r="200" s="4" customFormat="1" spans="1:17">
      <c r="A200" s="5"/>
      <c r="B200" s="6"/>
      <c r="E200" s="5"/>
      <c r="G200" s="4" t="s">
        <v>130</v>
      </c>
      <c r="H200" s="4">
        <f>SUM(H198:H199)</f>
        <v>10800</v>
      </c>
      <c r="O200" s="5"/>
      <c r="P200" s="5"/>
      <c r="Q200" s="5"/>
    </row>
    <row r="201" s="4" customFormat="1" spans="1:17">
      <c r="A201" s="5"/>
      <c r="B201" s="6"/>
      <c r="E201" s="5"/>
      <c r="O201" s="5"/>
      <c r="P201" s="5"/>
      <c r="Q201" s="5"/>
    </row>
    <row r="202" s="4" customFormat="1" spans="1:17">
      <c r="A202" s="5"/>
      <c r="B202" s="6"/>
      <c r="E202" s="5"/>
      <c r="F202" s="5" t="s">
        <v>328</v>
      </c>
      <c r="G202" s="4" t="s">
        <v>94</v>
      </c>
      <c r="H202" s="4">
        <f>18*6*70%*5*340</f>
        <v>128520</v>
      </c>
      <c r="O202" s="5"/>
      <c r="P202" s="5"/>
      <c r="Q202" s="5"/>
    </row>
    <row r="203" s="4" customFormat="1" spans="1:17">
      <c r="A203" s="5"/>
      <c r="B203" s="6"/>
      <c r="E203" s="5"/>
      <c r="F203" s="5"/>
      <c r="G203" s="4" t="s">
        <v>259</v>
      </c>
      <c r="H203" s="4" t="s">
        <v>260</v>
      </c>
      <c r="O203" s="5"/>
      <c r="P203" s="5"/>
      <c r="Q203" s="5"/>
    </row>
    <row r="204" s="4" customFormat="1" spans="1:17">
      <c r="A204" s="5"/>
      <c r="B204" s="6"/>
      <c r="E204" s="5"/>
      <c r="G204" s="4" t="s">
        <v>290</v>
      </c>
      <c r="H204" s="4">
        <f>18+18</f>
        <v>36</v>
      </c>
      <c r="O204" s="5"/>
      <c r="P204" s="5"/>
      <c r="Q204" s="5"/>
    </row>
    <row r="205" s="4" customFormat="1" spans="1:17">
      <c r="A205" s="5"/>
      <c r="B205" s="6"/>
      <c r="E205" s="5"/>
      <c r="G205" s="4" t="s">
        <v>324</v>
      </c>
      <c r="H205" s="4">
        <f>8*2*5</f>
        <v>80</v>
      </c>
      <c r="O205" s="5"/>
      <c r="P205" s="5"/>
      <c r="Q205" s="5"/>
    </row>
    <row r="206" s="4" customFormat="1" spans="1:17">
      <c r="A206" s="5"/>
      <c r="B206" s="6"/>
      <c r="E206" s="5"/>
      <c r="G206" s="4" t="s">
        <v>232</v>
      </c>
      <c r="H206" s="4">
        <f>SUM(H204:H205)</f>
        <v>116</v>
      </c>
      <c r="O206" s="5"/>
      <c r="P206" s="5"/>
      <c r="Q206" s="5"/>
    </row>
    <row r="207" s="4" customFormat="1" spans="1:17">
      <c r="A207" s="5"/>
      <c r="B207" s="6"/>
      <c r="E207" s="5"/>
      <c r="G207" s="4" t="s">
        <v>235</v>
      </c>
      <c r="H207" s="17">
        <f>H206/(18*2*6)</f>
        <v>0.537037037037037</v>
      </c>
      <c r="O207" s="5"/>
      <c r="P207" s="5"/>
      <c r="Q207" s="5"/>
    </row>
    <row r="208" s="4" customFormat="1" spans="1:17">
      <c r="A208" s="5"/>
      <c r="B208" s="6"/>
      <c r="E208" s="5"/>
      <c r="G208" s="4" t="s">
        <v>237</v>
      </c>
      <c r="H208" s="4">
        <f>18*53%*12*5*350</f>
        <v>200340</v>
      </c>
      <c r="O208" s="5"/>
      <c r="P208" s="5"/>
      <c r="Q208" s="5"/>
    </row>
    <row r="209" s="4" customFormat="1" spans="1:17">
      <c r="A209" s="5"/>
      <c r="B209" s="6"/>
      <c r="E209" s="5"/>
      <c r="G209" s="4" t="s">
        <v>253</v>
      </c>
      <c r="O209" s="5"/>
      <c r="P209" s="5"/>
      <c r="Q209" s="5"/>
    </row>
    <row r="210" s="4" customFormat="1" spans="1:17">
      <c r="A210" s="5"/>
      <c r="B210" s="6"/>
      <c r="E210" s="5"/>
      <c r="G210" s="18" t="s">
        <v>325</v>
      </c>
      <c r="H210" s="4">
        <v>9500</v>
      </c>
      <c r="O210" s="5"/>
      <c r="P210" s="5"/>
      <c r="Q210" s="5"/>
    </row>
    <row r="211" s="4" customFormat="1" spans="1:17">
      <c r="A211" s="5"/>
      <c r="B211" s="6"/>
      <c r="E211" s="5"/>
      <c r="G211" s="18" t="s">
        <v>326</v>
      </c>
      <c r="H211" s="4">
        <v>1000</v>
      </c>
      <c r="O211" s="5"/>
      <c r="P211" s="5"/>
      <c r="Q211" s="5"/>
    </row>
    <row r="212" s="4" customFormat="1" spans="1:17">
      <c r="A212" s="5"/>
      <c r="B212" s="6"/>
      <c r="E212" s="5"/>
      <c r="H212" s="4">
        <f>SUM(H210:H211)</f>
        <v>10500</v>
      </c>
      <c r="O212" s="5"/>
      <c r="P212" s="5"/>
      <c r="Q212" s="5"/>
    </row>
    <row r="213" s="4" customFormat="1" spans="1:17">
      <c r="A213" s="5"/>
      <c r="B213" s="6"/>
      <c r="E213" s="5"/>
      <c r="O213" s="5"/>
      <c r="P213" s="5"/>
      <c r="Q213" s="5"/>
    </row>
    <row r="214" s="4" customFormat="1" spans="1:17">
      <c r="A214" s="5"/>
      <c r="B214" s="6"/>
      <c r="E214" s="5"/>
      <c r="O214" s="5"/>
      <c r="P214" s="5"/>
      <c r="Q214" s="5"/>
    </row>
    <row r="215" s="4" customFormat="1" spans="1:17">
      <c r="A215" s="5"/>
      <c r="B215" s="6"/>
      <c r="E215" s="5"/>
      <c r="O215" s="5"/>
      <c r="P215" s="5"/>
      <c r="Q215" s="5"/>
    </row>
    <row r="216" s="4" customFormat="1" spans="1:17">
      <c r="A216" s="5"/>
      <c r="B216" s="6"/>
      <c r="E216" s="5"/>
      <c r="F216" s="5" t="s">
        <v>329</v>
      </c>
      <c r="G216" s="4" t="s">
        <v>76</v>
      </c>
      <c r="H216" s="4" t="s">
        <v>330</v>
      </c>
      <c r="I216" s="4" t="s">
        <v>260</v>
      </c>
      <c r="K216" s="4">
        <f>32400</f>
        <v>32400</v>
      </c>
      <c r="L216" s="4">
        <v>32200</v>
      </c>
      <c r="M216" s="4">
        <v>32300</v>
      </c>
      <c r="N216" s="4">
        <v>16500</v>
      </c>
      <c r="O216" s="5">
        <v>17250</v>
      </c>
      <c r="P216" s="5">
        <f>AVERAGE(K216:O216)</f>
        <v>26130</v>
      </c>
      <c r="Q216" s="5"/>
    </row>
    <row r="217" s="4" customFormat="1" spans="1:17">
      <c r="A217" s="5"/>
      <c r="B217" s="6"/>
      <c r="E217" s="5"/>
      <c r="F217" s="5"/>
      <c r="G217" s="4" t="s">
        <v>261</v>
      </c>
      <c r="H217" s="4">
        <f>(18+18)*2</f>
        <v>72</v>
      </c>
      <c r="O217" s="5"/>
      <c r="P217" s="5"/>
      <c r="Q217" s="5"/>
    </row>
    <row r="218" s="4" customFormat="1" spans="1:17">
      <c r="A218" s="5"/>
      <c r="B218" s="6"/>
      <c r="E218" s="5"/>
      <c r="F218" s="5"/>
      <c r="G218" s="4" t="s">
        <v>262</v>
      </c>
      <c r="H218" s="4">
        <f>9*2*4</f>
        <v>72</v>
      </c>
      <c r="O218" s="5"/>
      <c r="P218" s="5"/>
      <c r="Q218" s="5"/>
    </row>
    <row r="219" s="4" customFormat="1" spans="1:17">
      <c r="A219" s="5"/>
      <c r="B219" s="6"/>
      <c r="E219" s="5"/>
      <c r="F219" s="5"/>
      <c r="G219" s="4" t="s">
        <v>232</v>
      </c>
      <c r="H219" s="4">
        <f>SUM(H217:H218)</f>
        <v>144</v>
      </c>
      <c r="O219" s="5"/>
      <c r="P219" s="5"/>
      <c r="Q219" s="5"/>
    </row>
    <row r="220" s="4" customFormat="1" spans="1:17">
      <c r="A220" s="5"/>
      <c r="B220" s="6"/>
      <c r="E220" s="5"/>
      <c r="G220" s="4" t="s">
        <v>235</v>
      </c>
      <c r="H220" s="17">
        <f>H219/(18.5*2*6)</f>
        <v>0.648648648648649</v>
      </c>
      <c r="O220" s="5"/>
      <c r="P220" s="5"/>
      <c r="Q220" s="5"/>
    </row>
    <row r="221" s="4" customFormat="1" spans="1:17">
      <c r="A221" s="5"/>
      <c r="B221" s="6"/>
      <c r="E221" s="5"/>
      <c r="G221" s="4" t="s">
        <v>237</v>
      </c>
      <c r="H221" s="4">
        <f>18.5*12*65%*4*350</f>
        <v>202020</v>
      </c>
      <c r="O221" s="5"/>
      <c r="P221" s="5"/>
      <c r="Q221" s="5"/>
    </row>
    <row r="222" s="4" customFormat="1" spans="1:17">
      <c r="A222" s="5"/>
      <c r="B222" s="6"/>
      <c r="E222" s="5"/>
      <c r="O222" s="5"/>
      <c r="P222" s="5"/>
      <c r="Q222" s="5"/>
    </row>
    <row r="223" s="4" customFormat="1" spans="1:17">
      <c r="A223" s="5"/>
      <c r="B223" s="6"/>
      <c r="E223" s="5"/>
      <c r="F223" s="5" t="s">
        <v>331</v>
      </c>
      <c r="G223" s="4" t="s">
        <v>68</v>
      </c>
      <c r="O223" s="5"/>
      <c r="P223" s="5"/>
      <c r="Q223" s="5"/>
    </row>
    <row r="224" s="4" customFormat="1" spans="1:17">
      <c r="A224" s="5"/>
      <c r="B224" s="6"/>
      <c r="E224" s="5"/>
      <c r="G224" s="4" t="s">
        <v>259</v>
      </c>
      <c r="H224" s="4" t="s">
        <v>228</v>
      </c>
      <c r="O224" s="5"/>
      <c r="P224" s="5"/>
      <c r="Q224" s="5"/>
    </row>
    <row r="225" s="4" customFormat="1" spans="1:17">
      <c r="A225" s="5"/>
      <c r="B225" s="6"/>
      <c r="E225" s="5"/>
      <c r="G225" s="4" t="s">
        <v>332</v>
      </c>
      <c r="H225" s="4">
        <f>18</f>
        <v>18</v>
      </c>
      <c r="O225" s="5"/>
      <c r="P225" s="5"/>
      <c r="Q225" s="5"/>
    </row>
    <row r="226" s="4" customFormat="1" spans="1:17">
      <c r="A226" s="5"/>
      <c r="B226" s="6"/>
      <c r="E226" s="5"/>
      <c r="G226" s="4" t="s">
        <v>230</v>
      </c>
      <c r="H226" s="4">
        <v>12</v>
      </c>
      <c r="O226" s="5"/>
      <c r="P226" s="5"/>
      <c r="Q226" s="5"/>
    </row>
    <row r="227" s="4" customFormat="1" spans="1:17">
      <c r="A227" s="5"/>
      <c r="B227" s="6"/>
      <c r="E227" s="5"/>
      <c r="F227" s="5"/>
      <c r="G227" s="4" t="s">
        <v>232</v>
      </c>
      <c r="H227" s="4">
        <f>SUM(H225:H226)</f>
        <v>30</v>
      </c>
      <c r="O227" s="5"/>
      <c r="P227" s="5"/>
      <c r="Q227" s="5"/>
    </row>
    <row r="228" s="4" customFormat="1" spans="1:17">
      <c r="A228" s="5"/>
      <c r="B228" s="6"/>
      <c r="E228" s="5"/>
      <c r="F228" s="5"/>
      <c r="G228" s="4" t="s">
        <v>235</v>
      </c>
      <c r="H228" s="17">
        <f>H227/(18*2)</f>
        <v>0.833333333333333</v>
      </c>
      <c r="O228" s="5"/>
      <c r="P228" s="5"/>
      <c r="Q228" s="5"/>
    </row>
    <row r="229" s="4" customFormat="1" spans="1:17">
      <c r="A229" s="5"/>
      <c r="B229" s="6"/>
      <c r="E229" s="5"/>
      <c r="F229" s="5"/>
      <c r="G229" s="4" t="s">
        <v>237</v>
      </c>
      <c r="H229" s="4">
        <f>18*20*85%*2*350</f>
        <v>214200</v>
      </c>
      <c r="O229" s="5"/>
      <c r="P229" s="5"/>
      <c r="Q229" s="5"/>
    </row>
    <row r="230" s="4" customFormat="1" spans="1:17">
      <c r="A230" s="5"/>
      <c r="B230" s="6"/>
      <c r="E230" s="5"/>
      <c r="F230" s="5"/>
      <c r="O230" s="5"/>
      <c r="P230" s="5"/>
      <c r="Q230" s="5"/>
    </row>
    <row r="231" s="4" customFormat="1" spans="1:17">
      <c r="A231" s="5"/>
      <c r="B231" s="6"/>
      <c r="E231" s="5"/>
      <c r="F231" s="5" t="s">
        <v>333</v>
      </c>
      <c r="G231" s="4" t="s">
        <v>71</v>
      </c>
      <c r="O231" s="5"/>
      <c r="P231" s="5"/>
      <c r="Q231" s="5"/>
    </row>
    <row r="232" s="4" customFormat="1" spans="1:17">
      <c r="A232" s="5"/>
      <c r="B232" s="6"/>
      <c r="E232" s="5"/>
      <c r="F232" s="5"/>
      <c r="G232" s="4" t="s">
        <v>244</v>
      </c>
      <c r="H232" s="4" t="s">
        <v>228</v>
      </c>
      <c r="O232" s="5"/>
      <c r="P232" s="5"/>
      <c r="Q232" s="5"/>
    </row>
    <row r="233" s="4" customFormat="1" spans="1:17">
      <c r="A233" s="5"/>
      <c r="B233" s="6"/>
      <c r="E233" s="5"/>
      <c r="F233" s="5"/>
      <c r="G233" s="4" t="s">
        <v>332</v>
      </c>
      <c r="H233" s="4">
        <f>28</f>
        <v>28</v>
      </c>
      <c r="O233" s="5"/>
      <c r="P233" s="5"/>
      <c r="Q233" s="5"/>
    </row>
    <row r="234" s="4" customFormat="1" spans="1:17">
      <c r="A234" s="5"/>
      <c r="B234" s="6"/>
      <c r="E234" s="5"/>
      <c r="F234" s="5"/>
      <c r="G234" s="4" t="s">
        <v>230</v>
      </c>
      <c r="H234" s="4">
        <v>16</v>
      </c>
      <c r="O234" s="5"/>
      <c r="P234" s="5"/>
      <c r="Q234" s="5"/>
    </row>
    <row r="235" s="4" customFormat="1" spans="1:17">
      <c r="A235" s="5"/>
      <c r="B235" s="6"/>
      <c r="E235" s="5"/>
      <c r="F235" s="5"/>
      <c r="G235" s="4" t="s">
        <v>232</v>
      </c>
      <c r="H235" s="4">
        <f>SUM(H233:H234)</f>
        <v>44</v>
      </c>
      <c r="O235" s="5"/>
      <c r="P235" s="5"/>
      <c r="Q235" s="5"/>
    </row>
    <row r="236" s="4" customFormat="1" spans="1:17">
      <c r="A236" s="5"/>
      <c r="B236" s="6"/>
      <c r="E236" s="5"/>
      <c r="F236" s="5"/>
      <c r="G236" s="4" t="s">
        <v>235</v>
      </c>
      <c r="H236" s="17">
        <f>H235/(28*2)</f>
        <v>0.785714285714286</v>
      </c>
      <c r="O236" s="5"/>
      <c r="P236" s="5"/>
      <c r="Q236" s="5"/>
    </row>
    <row r="237" s="4" customFormat="1" spans="1:17">
      <c r="A237" s="5"/>
      <c r="B237" s="6"/>
      <c r="E237" s="5"/>
      <c r="F237" s="5"/>
      <c r="G237" s="4" t="s">
        <v>237</v>
      </c>
      <c r="H237" s="4">
        <f>28*12*80%*2*350</f>
        <v>188160</v>
      </c>
      <c r="O237" s="5"/>
      <c r="P237" s="5"/>
      <c r="Q237" s="5"/>
    </row>
    <row r="238" s="4" customFormat="1" spans="1:17">
      <c r="A238" s="5"/>
      <c r="B238" s="6"/>
      <c r="E238" s="5"/>
      <c r="O238" s="5"/>
      <c r="P238" s="5"/>
      <c r="Q238" s="5"/>
    </row>
    <row r="239" s="4" customFormat="1" spans="1:17">
      <c r="A239" s="5"/>
      <c r="B239" s="6"/>
      <c r="E239" s="5"/>
      <c r="F239" s="4" t="s">
        <v>334</v>
      </c>
      <c r="G239" s="4" t="s">
        <v>119</v>
      </c>
      <c r="O239" s="5"/>
      <c r="P239" s="5"/>
      <c r="Q239" s="5"/>
    </row>
    <row r="240" s="4" customFormat="1" spans="1:17">
      <c r="A240" s="5"/>
      <c r="B240" s="6"/>
      <c r="E240" s="5"/>
      <c r="G240" s="4" t="s">
        <v>259</v>
      </c>
      <c r="H240" s="4" t="s">
        <v>228</v>
      </c>
      <c r="O240" s="5"/>
      <c r="P240" s="5"/>
      <c r="Q240" s="5"/>
    </row>
    <row r="241" s="4" customFormat="1" spans="1:17">
      <c r="A241" s="5"/>
      <c r="B241" s="6"/>
      <c r="E241" s="5"/>
      <c r="G241" s="4" t="s">
        <v>332</v>
      </c>
      <c r="H241" s="4">
        <v>18</v>
      </c>
      <c r="O241" s="5"/>
      <c r="P241" s="5"/>
      <c r="Q241" s="5"/>
    </row>
    <row r="242" s="4" customFormat="1" spans="1:17">
      <c r="A242" s="5"/>
      <c r="B242" s="6"/>
      <c r="E242" s="5"/>
      <c r="G242" s="4" t="s">
        <v>230</v>
      </c>
      <c r="H242" s="4">
        <v>13</v>
      </c>
      <c r="O242" s="5"/>
      <c r="P242" s="5"/>
      <c r="Q242" s="5"/>
    </row>
    <row r="243" s="4" customFormat="1" spans="1:17">
      <c r="A243" s="5"/>
      <c r="B243" s="6"/>
      <c r="E243" s="5"/>
      <c r="G243" s="4" t="s">
        <v>335</v>
      </c>
      <c r="H243" s="4">
        <f>SUM(H241:H242)</f>
        <v>31</v>
      </c>
      <c r="O243" s="5"/>
      <c r="P243" s="5"/>
      <c r="Q243" s="5"/>
    </row>
    <row r="244" s="4" customFormat="1" spans="1:17">
      <c r="A244" s="5"/>
      <c r="B244" s="6"/>
      <c r="E244" s="5"/>
      <c r="G244" s="4" t="s">
        <v>235</v>
      </c>
      <c r="H244" s="4">
        <f>H243/(18*2)</f>
        <v>0.861111111111111</v>
      </c>
      <c r="O244" s="5"/>
      <c r="P244" s="5"/>
      <c r="Q244" s="5"/>
    </row>
    <row r="245" s="4" customFormat="1" spans="1:17">
      <c r="A245" s="5"/>
      <c r="B245" s="6"/>
      <c r="E245" s="5"/>
      <c r="G245" s="4" t="s">
        <v>237</v>
      </c>
      <c r="H245" s="4">
        <f>18*8*2*86%*350</f>
        <v>86688</v>
      </c>
      <c r="O245" s="5"/>
      <c r="P245" s="5"/>
      <c r="Q245" s="5"/>
    </row>
  </sheetData>
  <mergeCells count="13">
    <mergeCell ref="A1:V1"/>
    <mergeCell ref="C3:E3"/>
    <mergeCell ref="F3:N3"/>
    <mergeCell ref="A3:A4"/>
    <mergeCell ref="B3:B4"/>
    <mergeCell ref="O3:O4"/>
    <mergeCell ref="P3:P4"/>
    <mergeCell ref="Q3:Q4"/>
    <mergeCell ref="R3:R4"/>
    <mergeCell ref="S3:S4"/>
    <mergeCell ref="T3:T4"/>
    <mergeCell ref="U3:U4"/>
    <mergeCell ref="V3:V4"/>
  </mergeCells>
  <pageMargins left="0.75" right="0.75" top="1" bottom="1" header="0.5" footer="0.5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C7"/>
  <sheetViews>
    <sheetView workbookViewId="0">
      <selection activeCell="C4" sqref="C4"/>
    </sheetView>
  </sheetViews>
  <sheetFormatPr defaultColWidth="9" defaultRowHeight="13.5" outlineLevelRow="6" outlineLevelCol="2"/>
  <sheetData>
    <row r="2" spans="2:3">
      <c r="B2" s="1" t="s">
        <v>336</v>
      </c>
      <c r="C2" s="2"/>
    </row>
    <row r="3" spans="2:3">
      <c r="B3" s="1" t="s">
        <v>337</v>
      </c>
      <c r="C3" s="3">
        <v>1</v>
      </c>
    </row>
    <row r="4" spans="2:3">
      <c r="B4" s="1" t="s">
        <v>338</v>
      </c>
      <c r="C4" s="3">
        <v>1</v>
      </c>
    </row>
    <row r="5" spans="2:3">
      <c r="B5" s="1" t="s">
        <v>339</v>
      </c>
      <c r="C5" s="3">
        <v>1</v>
      </c>
    </row>
    <row r="6" spans="2:3">
      <c r="B6" s="1"/>
      <c r="C6" s="3"/>
    </row>
    <row r="7" spans="2:3">
      <c r="B7" s="1" t="s">
        <v>340</v>
      </c>
      <c r="C7" s="3">
        <v>0.5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评估结果汇总</vt:lpstr>
      <vt:lpstr>车辆+线路牌</vt:lpstr>
      <vt:lpstr>车辆评估</vt:lpstr>
      <vt:lpstr>线路牌评估</vt:lpstr>
      <vt:lpstr>调整系数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杨善林、,、,</cp:lastModifiedBy>
  <dcterms:created xsi:type="dcterms:W3CDTF">2023-08-06T04:05:00Z</dcterms:created>
  <dcterms:modified xsi:type="dcterms:W3CDTF">2024-04-17T06:29:48Z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53ED1614034B441E9D1F39FF9BE780DE_11</vt:lpwstr>
  </property>
  <property fmtid="{D5CDD505-2E9C-101B-9397-08002B2CF9AE}" pid="3" name="KSOProductBuildVer">
    <vt:lpwstr>2052-12.1.0.16399</vt:lpwstr>
  </property>
</Properties>
</file>